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2570" yWindow="105" windowWidth="11970" windowHeight="10680" tabRatio="851"/>
  </bookViews>
  <sheets>
    <sheet name="Voorblad" sheetId="2" r:id="rId1"/>
    <sheet name="Parameters" sheetId="14" r:id="rId2"/>
    <sheet name="TAR_Tab 2_Volumina" sheetId="24" r:id="rId3"/>
    <sheet name="TAR_Tab_3_Tariefaanpassing" sheetId="21" r:id="rId4"/>
    <sheet name="TARIEFCORRECTIES --&gt;" sheetId="45" r:id="rId5"/>
    <sheet name="TAR_Tab_4_Cor. verdeelsleutel" sheetId="53" r:id="rId6"/>
    <sheet name="TAR_Tab 5_UI" sheetId="10" r:id="rId7"/>
    <sheet name="TAR_Tab 6_NPD" sheetId="26" r:id="rId8"/>
    <sheet name="TAR_Tab 7_MFA " sheetId="28" r:id="rId9"/>
    <sheet name="TAR-Tab_8_Nacalculaties 14-16" sheetId="20" r:id="rId10"/>
    <sheet name="TAR_Tab 9_incidenteel AT" sheetId="57" r:id="rId11"/>
    <sheet name="TAR-Tab 10_incidenteel" sheetId="17" r:id="rId12"/>
    <sheet name="TARIEFBEREKENING --&gt;" sheetId="46" r:id="rId13"/>
    <sheet name="TAR_Tab 11_Entrytarieven" sheetId="5" r:id="rId14"/>
    <sheet name="TAR_Tab 12_Exittarieven" sheetId="4" r:id="rId15"/>
    <sheet name="TAR_Tab 13_Connectiontarieven" sheetId="6" r:id="rId16"/>
    <sheet name="TAR_Tab 14_Overige tarieven" sheetId="7" r:id="rId17"/>
    <sheet name="TAR_Tab_15_AT-tarieven" sheetId="50" r:id="rId18"/>
    <sheet name="CONTROLE TOEGESTANE INKOMSTEN-&gt;" sheetId="47" r:id="rId19"/>
    <sheet name="TAR_Tab 16_Controle" sheetId="18"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DAT1" localSheetId="10">#REF!</definedName>
    <definedName name="__DAT1">#REF!</definedName>
    <definedName name="__DAT10" localSheetId="10">#REF!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xlnm._FilterDatabase" localSheetId="15" hidden="1">'TAR_Tab 13_Connectiontarieven'!$A$7:$C$557</definedName>
    <definedName name="_xlnm._FilterDatabase" localSheetId="2" hidden="1">'TAR_Tab 2_Volumina'!$A$3:$I$560</definedName>
    <definedName name="_xlnm._FilterDatabase" localSheetId="6" hidden="1">'TAR_Tab 5_UI'!$A$57:$AS$188</definedName>
    <definedName name="AF" localSheetId="8">[1]ORI!#REF!</definedName>
    <definedName name="AF" localSheetId="10">[1]ORI!#REF!</definedName>
    <definedName name="AF">[1]ORI!#REF!</definedName>
    <definedName name="afd">'[2]PwC - Afdelingen'!$A$2:$B$109</definedName>
    <definedName name="_xlnm.Print_Area" localSheetId="1">Parameters!$A$1:$U$101</definedName>
    <definedName name="_xlnm.Print_Area" localSheetId="13">'TAR_Tab 11_Entrytarieven'!$A$1:$AH$78</definedName>
    <definedName name="_xlnm.Print_Area" localSheetId="14">'TAR_Tab 12_Exittarieven'!$A$1:$AH$566</definedName>
    <definedName name="_xlnm.Print_Area" localSheetId="15">'TAR_Tab 13_Connectiontarieven'!$A$1:$AD$557</definedName>
    <definedName name="_xlnm.Print_Area" localSheetId="16">'TAR_Tab 14_Overige tarieven'!$A$1:$AB$16</definedName>
    <definedName name="_xlnm.Print_Area" localSheetId="19">'TAR_Tab 16_Controle'!$A$1:$F$72</definedName>
    <definedName name="_xlnm.Print_Area" localSheetId="2">'TAR_Tab 2_Volumina'!$A$1:$AH$560</definedName>
    <definedName name="_xlnm.Print_Area" localSheetId="6">'TAR_Tab 5_UI'!$A$1:$AS$227</definedName>
    <definedName name="_xlnm.Print_Area" localSheetId="7">'TAR_Tab 6_NPD'!$A$1:$S$137</definedName>
    <definedName name="_xlnm.Print_Area" localSheetId="8">'TAR_Tab 7_MFA '!$A$1:$L$52</definedName>
    <definedName name="_xlnm.Print_Area" localSheetId="10">'TAR_Tab 9_incidenteel AT'!$A$1:$T$124</definedName>
    <definedName name="_xlnm.Print_Area" localSheetId="3">TAR_Tab_3_Tariefaanpassing!$A$1:$D$33</definedName>
    <definedName name="_xlnm.Print_Area" localSheetId="11">'TAR-Tab 10_incidenteel'!$A$1:$H$45</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F_GRID_3" localSheetId="2">[1]ORI!#REF!</definedName>
    <definedName name="DF_GRID_3" localSheetId="7">[1]ORI!#REF!</definedName>
    <definedName name="DF_GRID_3" localSheetId="8">[1]ORI!#REF!</definedName>
    <definedName name="DF_GRID_3">[1]ORI!#REF!</definedName>
    <definedName name="Eigenaar">[3]Lijsten!$G$2:$G$11</definedName>
    <definedName name="eur">#REF!</definedName>
    <definedName name="factor">#REF!</definedName>
    <definedName name="fik">[7]cockpit!$B$9</definedName>
    <definedName name="Financiering">[3]Lijsten!$P$2:$P$9</definedName>
    <definedName name="Jaar">[3]Lijsten!$A$2:$A$19</definedName>
    <definedName name="Kwartaal">[3]Lijsten!$B$2:$B$5</definedName>
    <definedName name="METHODE">#REF!</definedName>
    <definedName name="Naam">[8]Lijsten!$B$3:$B$10</definedName>
    <definedName name="NAAM_NE">'[9]Toegestane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'[9]Toegestane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45621"/>
</workbook>
</file>

<file path=xl/calcChain.xml><?xml version="1.0" encoding="utf-8"?>
<calcChain xmlns="http://schemas.openxmlformats.org/spreadsheetml/2006/main">
  <c r="E44" i="18" l="1"/>
  <c r="H44" i="17" l="1"/>
  <c r="F44" i="17"/>
  <c r="E44" i="17"/>
  <c r="H5" i="50" l="1"/>
  <c r="B54" i="18" l="1"/>
  <c r="N8" i="5" l="1"/>
  <c r="N7" i="5"/>
  <c r="B66" i="18"/>
  <c r="B93" i="14"/>
  <c r="D193" i="10" l="1"/>
  <c r="I91" i="10"/>
  <c r="Y91" i="10" s="1"/>
  <c r="L91" i="10"/>
  <c r="M91" i="10"/>
  <c r="W91" i="10"/>
  <c r="AF91" i="10"/>
  <c r="AP91" i="10"/>
  <c r="I92" i="10"/>
  <c r="X92" i="10" s="1"/>
  <c r="L92" i="10"/>
  <c r="M92" i="10"/>
  <c r="W92" i="10"/>
  <c r="AA92" i="10" s="1"/>
  <c r="AF92" i="10"/>
  <c r="AP92" i="10"/>
  <c r="I93" i="10"/>
  <c r="Z93" i="10" s="1"/>
  <c r="L93" i="10"/>
  <c r="M93" i="10"/>
  <c r="W93" i="10"/>
  <c r="AF93" i="10"/>
  <c r="AP93" i="10"/>
  <c r="I94" i="10"/>
  <c r="Y94" i="10" s="1"/>
  <c r="L94" i="10"/>
  <c r="M94" i="10"/>
  <c r="N94" i="10"/>
  <c r="W94" i="10"/>
  <c r="X94" i="10"/>
  <c r="AF94" i="10"/>
  <c r="AG94" i="10"/>
  <c r="AP94" i="10"/>
  <c r="I95" i="10"/>
  <c r="X95" i="10" s="1"/>
  <c r="L95" i="10"/>
  <c r="M95" i="10"/>
  <c r="W95" i="10"/>
  <c r="AF95" i="10"/>
  <c r="AP95" i="10"/>
  <c r="I96" i="10"/>
  <c r="Z96" i="10" s="1"/>
  <c r="L96" i="10"/>
  <c r="M96" i="10"/>
  <c r="W96" i="10"/>
  <c r="AF96" i="10"/>
  <c r="AP96" i="10"/>
  <c r="I97" i="10"/>
  <c r="Y97" i="10" s="1"/>
  <c r="L97" i="10"/>
  <c r="M97" i="10"/>
  <c r="N97" i="10"/>
  <c r="W97" i="10"/>
  <c r="AA97" i="10" s="1"/>
  <c r="X97" i="10"/>
  <c r="AF97" i="10"/>
  <c r="AG97" i="10"/>
  <c r="AP97" i="10"/>
  <c r="I98" i="10"/>
  <c r="X98" i="10" s="1"/>
  <c r="L98" i="10"/>
  <c r="M98" i="10"/>
  <c r="W98" i="10"/>
  <c r="AF98" i="10"/>
  <c r="AP98" i="10"/>
  <c r="I99" i="10"/>
  <c r="Y99" i="10" s="1"/>
  <c r="L99" i="10"/>
  <c r="M99" i="10"/>
  <c r="N99" i="10"/>
  <c r="W99" i="10"/>
  <c r="AA99" i="10" s="1"/>
  <c r="X99" i="10"/>
  <c r="AB99" i="10" s="1"/>
  <c r="AF99" i="10"/>
  <c r="AG99" i="10"/>
  <c r="AP99" i="10"/>
  <c r="I100" i="10"/>
  <c r="Z100" i="10" s="1"/>
  <c r="J100" i="10"/>
  <c r="K100" i="10"/>
  <c r="L100" i="10"/>
  <c r="M100" i="10"/>
  <c r="W100" i="10"/>
  <c r="AF100" i="10"/>
  <c r="AP100" i="10"/>
  <c r="I101" i="10"/>
  <c r="Y101" i="10" s="1"/>
  <c r="J101" i="10"/>
  <c r="K101" i="10"/>
  <c r="L101" i="10"/>
  <c r="M101" i="10"/>
  <c r="W101" i="10"/>
  <c r="AF101" i="10"/>
  <c r="AP101" i="10"/>
  <c r="I102" i="10"/>
  <c r="Z102" i="10" s="1"/>
  <c r="J102" i="10"/>
  <c r="K102" i="10"/>
  <c r="L102" i="10"/>
  <c r="M102" i="10"/>
  <c r="N102" i="10"/>
  <c r="W102" i="10"/>
  <c r="AA102" i="10" s="1"/>
  <c r="X102" i="10"/>
  <c r="AF102" i="10"/>
  <c r="AG102" i="10"/>
  <c r="AP102" i="10"/>
  <c r="X101" i="10"/>
  <c r="Y95" i="10"/>
  <c r="AA98" i="10"/>
  <c r="Z101" i="10"/>
  <c r="Y96" i="10"/>
  <c r="W60" i="10"/>
  <c r="I60" i="10"/>
  <c r="Y60" i="10" s="1"/>
  <c r="E27" i="18"/>
  <c r="C7" i="17"/>
  <c r="D7" i="17"/>
  <c r="A52" i="57"/>
  <c r="B52" i="57"/>
  <c r="B51" i="57"/>
  <c r="A51" i="57"/>
  <c r="B50" i="57"/>
  <c r="A50" i="57"/>
  <c r="A44" i="57"/>
  <c r="B44" i="57"/>
  <c r="B43" i="57"/>
  <c r="A43" i="57"/>
  <c r="B42" i="57"/>
  <c r="A42" i="57"/>
  <c r="D11" i="57"/>
  <c r="E12" i="57"/>
  <c r="F13" i="57"/>
  <c r="C10" i="57"/>
  <c r="B6" i="57"/>
  <c r="B5" i="57"/>
  <c r="B4" i="57"/>
  <c r="A106" i="57"/>
  <c r="A113" i="57" s="1"/>
  <c r="A120" i="57" s="1"/>
  <c r="A85" i="57"/>
  <c r="A92" i="57" s="1"/>
  <c r="A57" i="57"/>
  <c r="A64" i="57" s="1"/>
  <c r="I166" i="10"/>
  <c r="W166" i="10"/>
  <c r="J166" i="10"/>
  <c r="K166" i="10"/>
  <c r="L166" i="10"/>
  <c r="AQ166" i="10"/>
  <c r="I167" i="10"/>
  <c r="W167" i="10" s="1"/>
  <c r="J167" i="10"/>
  <c r="K167" i="10"/>
  <c r="L167" i="10"/>
  <c r="AQ167" i="10"/>
  <c r="I168" i="10"/>
  <c r="Y168" i="10" s="1"/>
  <c r="J168" i="10"/>
  <c r="K168" i="10"/>
  <c r="L168" i="10"/>
  <c r="M168" i="10"/>
  <c r="W168" i="10"/>
  <c r="AF168" i="10"/>
  <c r="AP168" i="10"/>
  <c r="I169" i="10"/>
  <c r="J169" i="10"/>
  <c r="K169" i="10"/>
  <c r="L169" i="10"/>
  <c r="M169" i="10"/>
  <c r="W169" i="10"/>
  <c r="AF169" i="10"/>
  <c r="AP169" i="10"/>
  <c r="I170" i="10"/>
  <c r="Y170" i="10" s="1"/>
  <c r="J170" i="10"/>
  <c r="K170" i="10"/>
  <c r="L170" i="10"/>
  <c r="M170" i="10"/>
  <c r="N170" i="10"/>
  <c r="W170" i="10"/>
  <c r="X170" i="10"/>
  <c r="AF170" i="10"/>
  <c r="AG170" i="10"/>
  <c r="AP170" i="10"/>
  <c r="I171" i="10"/>
  <c r="Y171" i="10" s="1"/>
  <c r="L171" i="10"/>
  <c r="AQ171" i="10"/>
  <c r="I172" i="10"/>
  <c r="Z172" i="10" s="1"/>
  <c r="L172" i="10"/>
  <c r="AQ172" i="10"/>
  <c r="I173" i="10"/>
  <c r="Y173" i="10" s="1"/>
  <c r="L173" i="10"/>
  <c r="M173" i="10"/>
  <c r="W173" i="10"/>
  <c r="AA173" i="10" s="1"/>
  <c r="AF173" i="10"/>
  <c r="AP173" i="10"/>
  <c r="I174" i="10"/>
  <c r="W174" i="10" s="1"/>
  <c r="L174" i="10"/>
  <c r="AQ174" i="10"/>
  <c r="I175" i="10"/>
  <c r="W175" i="10" s="1"/>
  <c r="L175" i="10"/>
  <c r="AQ175" i="10"/>
  <c r="I176" i="10"/>
  <c r="W176" i="10"/>
  <c r="L176" i="10"/>
  <c r="AQ176" i="10"/>
  <c r="I177" i="10"/>
  <c r="X177" i="10" s="1"/>
  <c r="L177" i="10"/>
  <c r="AQ177" i="10"/>
  <c r="I178" i="10"/>
  <c r="Y178" i="10" s="1"/>
  <c r="L178" i="10"/>
  <c r="AQ178" i="10"/>
  <c r="I179" i="10"/>
  <c r="Y179" i="10" s="1"/>
  <c r="L179" i="10"/>
  <c r="AQ179" i="10"/>
  <c r="I180" i="10"/>
  <c r="Z180" i="10" s="1"/>
  <c r="L180" i="10"/>
  <c r="AQ180" i="10"/>
  <c r="I181" i="10"/>
  <c r="W181" i="10" s="1"/>
  <c r="L181" i="10"/>
  <c r="AQ181" i="10"/>
  <c r="I182" i="10"/>
  <c r="X182" i="10" s="1"/>
  <c r="L182" i="10"/>
  <c r="M182" i="10"/>
  <c r="W182" i="10"/>
  <c r="AF182" i="10"/>
  <c r="AP182" i="10"/>
  <c r="I183" i="10"/>
  <c r="X183" i="10" s="1"/>
  <c r="L183" i="10"/>
  <c r="M183" i="10"/>
  <c r="W183" i="10"/>
  <c r="AF183" i="10"/>
  <c r="AP183" i="10"/>
  <c r="I184" i="10"/>
  <c r="Y184" i="10" s="1"/>
  <c r="L184" i="10"/>
  <c r="M184" i="10"/>
  <c r="W184" i="10"/>
  <c r="AF184" i="10"/>
  <c r="AP184" i="10"/>
  <c r="I185" i="10"/>
  <c r="X185" i="10" s="1"/>
  <c r="L185" i="10"/>
  <c r="M185" i="10"/>
  <c r="W185" i="10"/>
  <c r="AF185" i="10"/>
  <c r="AP185" i="10"/>
  <c r="I186" i="10"/>
  <c r="L186" i="10"/>
  <c r="M186" i="10"/>
  <c r="N186" i="10"/>
  <c r="W186" i="10"/>
  <c r="AA186" i="10" s="1"/>
  <c r="X186" i="10"/>
  <c r="AB186" i="10" s="1"/>
  <c r="AF186" i="10"/>
  <c r="AG186" i="10"/>
  <c r="AP186" i="10"/>
  <c r="I187" i="10"/>
  <c r="Z187" i="10" s="1"/>
  <c r="L187" i="10"/>
  <c r="M187" i="10"/>
  <c r="N187" i="10"/>
  <c r="W187" i="10"/>
  <c r="AA187" i="10" s="1"/>
  <c r="X187" i="10"/>
  <c r="AB187" i="10" s="1"/>
  <c r="AF187" i="10"/>
  <c r="AG187" i="10"/>
  <c r="AP187" i="10"/>
  <c r="I148" i="10"/>
  <c r="Z148" i="10" s="1"/>
  <c r="L148" i="10"/>
  <c r="M148" i="10"/>
  <c r="W148" i="10"/>
  <c r="AF148" i="10"/>
  <c r="AP148" i="10"/>
  <c r="I149" i="10"/>
  <c r="X149" i="10" s="1"/>
  <c r="L149" i="10"/>
  <c r="M149" i="10"/>
  <c r="W149" i="10"/>
  <c r="AF149" i="10"/>
  <c r="AP149" i="10"/>
  <c r="I150" i="10"/>
  <c r="Z150" i="10" s="1"/>
  <c r="L150" i="10"/>
  <c r="M150" i="10"/>
  <c r="W150" i="10"/>
  <c r="AF150" i="10"/>
  <c r="AP150" i="10"/>
  <c r="I151" i="10"/>
  <c r="Z151" i="10" s="1"/>
  <c r="L151" i="10"/>
  <c r="M151" i="10"/>
  <c r="N151" i="10"/>
  <c r="W151" i="10"/>
  <c r="X151" i="10"/>
  <c r="AF151" i="10"/>
  <c r="AG151" i="10"/>
  <c r="AP151" i="10"/>
  <c r="I152" i="10"/>
  <c r="Y152" i="10" s="1"/>
  <c r="L152" i="10"/>
  <c r="M152" i="10"/>
  <c r="N152" i="10"/>
  <c r="W152" i="10"/>
  <c r="X152" i="10"/>
  <c r="AF152" i="10"/>
  <c r="AG152" i="10"/>
  <c r="AP152" i="10"/>
  <c r="I153" i="10"/>
  <c r="Z153" i="10" s="1"/>
  <c r="L153" i="10"/>
  <c r="AQ153" i="10"/>
  <c r="I154" i="10"/>
  <c r="W154" i="10" s="1"/>
  <c r="L154" i="10"/>
  <c r="AQ154" i="10"/>
  <c r="I155" i="10"/>
  <c r="Y155" i="10" s="1"/>
  <c r="L155" i="10"/>
  <c r="AQ155" i="10"/>
  <c r="I156" i="10"/>
  <c r="X156" i="10" s="1"/>
  <c r="L156" i="10"/>
  <c r="AQ156" i="10"/>
  <c r="I157" i="10"/>
  <c r="W157" i="10" s="1"/>
  <c r="L157" i="10"/>
  <c r="AQ157" i="10"/>
  <c r="I158" i="10"/>
  <c r="X158" i="10" s="1"/>
  <c r="L158" i="10"/>
  <c r="M158" i="10"/>
  <c r="W158" i="10"/>
  <c r="AF158" i="10"/>
  <c r="AP158" i="10"/>
  <c r="I159" i="10"/>
  <c r="X159" i="10" s="1"/>
  <c r="L159" i="10"/>
  <c r="M159" i="10"/>
  <c r="W159" i="10"/>
  <c r="AF159" i="10"/>
  <c r="AP159" i="10"/>
  <c r="I160" i="10"/>
  <c r="W160" i="10" s="1"/>
  <c r="L160" i="10"/>
  <c r="AQ160" i="10"/>
  <c r="I161" i="10"/>
  <c r="W161" i="10" s="1"/>
  <c r="L161" i="10"/>
  <c r="AQ161" i="10"/>
  <c r="I162" i="10"/>
  <c r="Y162" i="10" s="1"/>
  <c r="L162" i="10"/>
  <c r="M162" i="10"/>
  <c r="W162" i="10"/>
  <c r="AF162" i="10"/>
  <c r="AP162" i="10"/>
  <c r="I163" i="10"/>
  <c r="X163" i="10" s="1"/>
  <c r="L163" i="10"/>
  <c r="M163" i="10"/>
  <c r="W163" i="10"/>
  <c r="AF163" i="10"/>
  <c r="AP163" i="10"/>
  <c r="I164" i="10"/>
  <c r="Y164" i="10" s="1"/>
  <c r="L164" i="10"/>
  <c r="AQ164" i="10"/>
  <c r="I165" i="10"/>
  <c r="W165" i="10" s="1"/>
  <c r="L165" i="10"/>
  <c r="AQ165" i="10"/>
  <c r="I129" i="10"/>
  <c r="W129" i="10" s="1"/>
  <c r="L129" i="10"/>
  <c r="AQ129" i="10"/>
  <c r="I130" i="10"/>
  <c r="W130" i="10" s="1"/>
  <c r="L130" i="10"/>
  <c r="AQ130" i="10"/>
  <c r="I131" i="10"/>
  <c r="X131" i="10" s="1"/>
  <c r="L131" i="10"/>
  <c r="AQ131" i="10"/>
  <c r="I132" i="10"/>
  <c r="Y132" i="10" s="1"/>
  <c r="L132" i="10"/>
  <c r="AQ132" i="10"/>
  <c r="I133" i="10"/>
  <c r="Y133" i="10" s="1"/>
  <c r="L133" i="10"/>
  <c r="AQ133" i="10"/>
  <c r="I134" i="10"/>
  <c r="X134" i="10" s="1"/>
  <c r="L134" i="10"/>
  <c r="M134" i="10"/>
  <c r="W134" i="10"/>
  <c r="AF134" i="10"/>
  <c r="AP134" i="10"/>
  <c r="I135" i="10"/>
  <c r="X135" i="10" s="1"/>
  <c r="L135" i="10"/>
  <c r="M135" i="10"/>
  <c r="W135" i="10"/>
  <c r="AF135" i="10"/>
  <c r="AP135" i="10"/>
  <c r="I136" i="10"/>
  <c r="X136" i="10" s="1"/>
  <c r="L136" i="10"/>
  <c r="M136" i="10"/>
  <c r="W136" i="10"/>
  <c r="AF136" i="10"/>
  <c r="AP136" i="10"/>
  <c r="I137" i="10"/>
  <c r="W137" i="10" s="1"/>
  <c r="J137" i="10"/>
  <c r="K137" i="10"/>
  <c r="L137" i="10"/>
  <c r="AQ137" i="10"/>
  <c r="I138" i="10"/>
  <c r="Z138" i="10" s="1"/>
  <c r="J138" i="10"/>
  <c r="K138" i="10"/>
  <c r="L138" i="10"/>
  <c r="M138" i="10"/>
  <c r="W138" i="10"/>
  <c r="AF138" i="10"/>
  <c r="AP138" i="10"/>
  <c r="I139" i="10"/>
  <c r="X139" i="10" s="1"/>
  <c r="L139" i="10"/>
  <c r="AQ139" i="10"/>
  <c r="I140" i="10"/>
  <c r="Y140" i="10" s="1"/>
  <c r="W140" i="10"/>
  <c r="L140" i="10"/>
  <c r="AQ140" i="10"/>
  <c r="I141" i="10"/>
  <c r="X141" i="10" s="1"/>
  <c r="L141" i="10"/>
  <c r="AQ141" i="10"/>
  <c r="I142" i="10"/>
  <c r="X142" i="10" s="1"/>
  <c r="L142" i="10"/>
  <c r="AQ142" i="10"/>
  <c r="I143" i="10"/>
  <c r="L143" i="10"/>
  <c r="AQ143" i="10"/>
  <c r="I144" i="10"/>
  <c r="X144" i="10" s="1"/>
  <c r="L144" i="10"/>
  <c r="AQ144" i="10"/>
  <c r="I145" i="10"/>
  <c r="X145" i="10" s="1"/>
  <c r="L145" i="10"/>
  <c r="M145" i="10"/>
  <c r="W145" i="10"/>
  <c r="AA145" i="10" s="1"/>
  <c r="AF145" i="10"/>
  <c r="AP145" i="10"/>
  <c r="I146" i="10"/>
  <c r="X146" i="10" s="1"/>
  <c r="L146" i="10"/>
  <c r="M146" i="10"/>
  <c r="W146" i="10"/>
  <c r="AF146" i="10"/>
  <c r="AP146" i="10"/>
  <c r="I147" i="10"/>
  <c r="L147" i="10"/>
  <c r="M147" i="10"/>
  <c r="W147" i="10"/>
  <c r="AF147" i="10"/>
  <c r="AP147" i="10"/>
  <c r="I109" i="10"/>
  <c r="X109" i="10" s="1"/>
  <c r="L109" i="10"/>
  <c r="M109" i="10"/>
  <c r="W109" i="10"/>
  <c r="AF109" i="10"/>
  <c r="AP109" i="10"/>
  <c r="I110" i="10"/>
  <c r="X110" i="10" s="1"/>
  <c r="L110" i="10"/>
  <c r="M110" i="10"/>
  <c r="W110" i="10"/>
  <c r="AF110" i="10"/>
  <c r="AP110" i="10"/>
  <c r="I111" i="10"/>
  <c r="L111" i="10"/>
  <c r="AQ111" i="10"/>
  <c r="I112" i="10"/>
  <c r="Y112" i="10" s="1"/>
  <c r="L112" i="10"/>
  <c r="AQ112" i="10"/>
  <c r="I113" i="10"/>
  <c r="J113" i="10"/>
  <c r="K113" i="10"/>
  <c r="L113" i="10"/>
  <c r="AQ113" i="10"/>
  <c r="I114" i="10"/>
  <c r="W114" i="10" s="1"/>
  <c r="L114" i="10"/>
  <c r="AQ114" i="10"/>
  <c r="I115" i="10"/>
  <c r="W115" i="10" s="1"/>
  <c r="L115" i="10"/>
  <c r="AQ115" i="10"/>
  <c r="I116" i="10"/>
  <c r="X116" i="10" s="1"/>
  <c r="L116" i="10"/>
  <c r="M116" i="10"/>
  <c r="W116" i="10"/>
  <c r="AF116" i="10"/>
  <c r="AP116" i="10"/>
  <c r="I117" i="10"/>
  <c r="Z117" i="10" s="1"/>
  <c r="J117" i="10"/>
  <c r="K117" i="10"/>
  <c r="L117" i="10"/>
  <c r="M117" i="10"/>
  <c r="W117" i="10"/>
  <c r="AF117" i="10"/>
  <c r="AP117" i="10"/>
  <c r="I118" i="10"/>
  <c r="X118" i="10" s="1"/>
  <c r="L118" i="10"/>
  <c r="M118" i="10"/>
  <c r="W118" i="10"/>
  <c r="AF118" i="10"/>
  <c r="AP118" i="10"/>
  <c r="I119" i="10"/>
  <c r="X119" i="10" s="1"/>
  <c r="L119" i="10"/>
  <c r="M119" i="10"/>
  <c r="W119" i="10"/>
  <c r="AF119" i="10"/>
  <c r="AP119" i="10"/>
  <c r="I120" i="10"/>
  <c r="Z120" i="10" s="1"/>
  <c r="L120" i="10"/>
  <c r="M120" i="10"/>
  <c r="N120" i="10"/>
  <c r="W120" i="10"/>
  <c r="AA120" i="10" s="1"/>
  <c r="X120" i="10"/>
  <c r="AB120" i="10" s="1"/>
  <c r="AF120" i="10"/>
  <c r="AG120" i="10"/>
  <c r="AP120" i="10"/>
  <c r="I121" i="10"/>
  <c r="Y121" i="10" s="1"/>
  <c r="L121" i="10"/>
  <c r="M121" i="10"/>
  <c r="N121" i="10"/>
  <c r="W121" i="10"/>
  <c r="X121" i="10"/>
  <c r="AF121" i="10"/>
  <c r="AG121" i="10"/>
  <c r="AP121" i="10"/>
  <c r="I122" i="10"/>
  <c r="L122" i="10"/>
  <c r="M122" i="10"/>
  <c r="N122" i="10"/>
  <c r="W122" i="10"/>
  <c r="AA122" i="10" s="1"/>
  <c r="X122" i="10"/>
  <c r="AB122" i="10" s="1"/>
  <c r="AF122" i="10"/>
  <c r="AG122" i="10"/>
  <c r="AP122" i="10"/>
  <c r="I123" i="10"/>
  <c r="Z123" i="10" s="1"/>
  <c r="L123" i="10"/>
  <c r="AQ123" i="10"/>
  <c r="I124" i="10"/>
  <c r="W124" i="10" s="1"/>
  <c r="L124" i="10"/>
  <c r="AQ124" i="10"/>
  <c r="I125" i="10"/>
  <c r="W125" i="10"/>
  <c r="L125" i="10"/>
  <c r="AQ125" i="10"/>
  <c r="I126" i="10"/>
  <c r="X126" i="10"/>
  <c r="L126" i="10"/>
  <c r="M126" i="10"/>
  <c r="W126" i="10"/>
  <c r="AF126" i="10"/>
  <c r="AP126" i="10"/>
  <c r="I127" i="10"/>
  <c r="Y127" i="10" s="1"/>
  <c r="L127" i="10"/>
  <c r="M127" i="10"/>
  <c r="W127" i="10"/>
  <c r="AF127" i="10"/>
  <c r="AP127" i="10"/>
  <c r="I128" i="10"/>
  <c r="L128" i="10"/>
  <c r="M128" i="10"/>
  <c r="N128" i="10"/>
  <c r="W128" i="10"/>
  <c r="X128" i="10"/>
  <c r="AF128" i="10"/>
  <c r="AG128" i="10"/>
  <c r="AP128" i="10"/>
  <c r="I82" i="10"/>
  <c r="X82" i="10" s="1"/>
  <c r="L82" i="10"/>
  <c r="M82" i="10"/>
  <c r="W82" i="10"/>
  <c r="AA82" i="10" s="1"/>
  <c r="AF82" i="10"/>
  <c r="AP82" i="10"/>
  <c r="I83" i="10"/>
  <c r="Z83" i="10" s="1"/>
  <c r="X83" i="10"/>
  <c r="L83" i="10"/>
  <c r="M83" i="10"/>
  <c r="W83" i="10"/>
  <c r="AF83" i="10"/>
  <c r="AP83" i="10"/>
  <c r="I84" i="10"/>
  <c r="Y84" i="10" s="1"/>
  <c r="L84" i="10"/>
  <c r="M84" i="10"/>
  <c r="W84" i="10"/>
  <c r="AF84" i="10"/>
  <c r="AP84" i="10"/>
  <c r="I85" i="10"/>
  <c r="X85" i="10" s="1"/>
  <c r="L85" i="10"/>
  <c r="M85" i="10"/>
  <c r="W85" i="10"/>
  <c r="AF85" i="10"/>
  <c r="AP85" i="10"/>
  <c r="I86" i="10"/>
  <c r="X86" i="10" s="1"/>
  <c r="L86" i="10"/>
  <c r="M86" i="10"/>
  <c r="W86" i="10"/>
  <c r="AF86" i="10"/>
  <c r="AP86" i="10"/>
  <c r="I87" i="10"/>
  <c r="X87" i="10" s="1"/>
  <c r="L87" i="10"/>
  <c r="M87" i="10"/>
  <c r="W87" i="10"/>
  <c r="AF87" i="10"/>
  <c r="AP87" i="10"/>
  <c r="I88" i="10"/>
  <c r="L88" i="10"/>
  <c r="M88" i="10"/>
  <c r="N88" i="10"/>
  <c r="W88" i="10"/>
  <c r="X88" i="10"/>
  <c r="AB88" i="10" s="1"/>
  <c r="AF88" i="10"/>
  <c r="AG88" i="10"/>
  <c r="AP88" i="10"/>
  <c r="I89" i="10"/>
  <c r="Y89" i="10" s="1"/>
  <c r="L89" i="10"/>
  <c r="M89" i="10"/>
  <c r="N89" i="10"/>
  <c r="W89" i="10"/>
  <c r="AA89" i="10" s="1"/>
  <c r="X89" i="10"/>
  <c r="AF89" i="10"/>
  <c r="AG89" i="10"/>
  <c r="AP89" i="10"/>
  <c r="I90" i="10"/>
  <c r="Y90" i="10" s="1"/>
  <c r="L90" i="10"/>
  <c r="M90" i="10"/>
  <c r="N90" i="10"/>
  <c r="W90" i="10"/>
  <c r="X90" i="10"/>
  <c r="AB90" i="10" s="1"/>
  <c r="AF90" i="10"/>
  <c r="AG90" i="10"/>
  <c r="AP90" i="10"/>
  <c r="I103" i="10"/>
  <c r="W103" i="10" s="1"/>
  <c r="L103" i="10"/>
  <c r="I104" i="10"/>
  <c r="W104" i="10"/>
  <c r="J104" i="10"/>
  <c r="K104" i="10"/>
  <c r="L104" i="10"/>
  <c r="AQ104" i="10"/>
  <c r="I105" i="10"/>
  <c r="X105" i="10" s="1"/>
  <c r="L105" i="10"/>
  <c r="AQ105" i="10"/>
  <c r="I106" i="10"/>
  <c r="Z106" i="10" s="1"/>
  <c r="L106" i="10"/>
  <c r="AQ106" i="10"/>
  <c r="I107" i="10"/>
  <c r="L107" i="10"/>
  <c r="M107" i="10"/>
  <c r="W107" i="10"/>
  <c r="AA107" i="10" s="1"/>
  <c r="AF107" i="10"/>
  <c r="AP107" i="10"/>
  <c r="I108" i="10"/>
  <c r="J108" i="10"/>
  <c r="K108" i="10"/>
  <c r="L108" i="10"/>
  <c r="M108" i="10"/>
  <c r="W108" i="10"/>
  <c r="AA108" i="10" s="1"/>
  <c r="AF108" i="10"/>
  <c r="AP108" i="10"/>
  <c r="I61" i="10"/>
  <c r="X61" i="10" s="1"/>
  <c r="L61" i="10"/>
  <c r="M61" i="10"/>
  <c r="W61" i="10"/>
  <c r="AA61" i="10" s="1"/>
  <c r="AF61" i="10"/>
  <c r="AP61" i="10"/>
  <c r="I62" i="10"/>
  <c r="Y62" i="10" s="1"/>
  <c r="L62" i="10"/>
  <c r="M62" i="10"/>
  <c r="N62" i="10"/>
  <c r="W62" i="10"/>
  <c r="AA62" i="10" s="1"/>
  <c r="X62" i="10"/>
  <c r="AB62" i="10" s="1"/>
  <c r="AF62" i="10"/>
  <c r="AG62" i="10"/>
  <c r="AP62" i="10"/>
  <c r="I63" i="10"/>
  <c r="L63" i="10"/>
  <c r="M63" i="10"/>
  <c r="W63" i="10"/>
  <c r="AF63" i="10"/>
  <c r="AP63" i="10"/>
  <c r="I64" i="10"/>
  <c r="Z64" i="10" s="1"/>
  <c r="L64" i="10"/>
  <c r="M64" i="10"/>
  <c r="AA64" i="10" s="1"/>
  <c r="W64" i="10"/>
  <c r="AF64" i="10"/>
  <c r="AP64" i="10"/>
  <c r="I65" i="10"/>
  <c r="Y65" i="10" s="1"/>
  <c r="L65" i="10"/>
  <c r="M65" i="10"/>
  <c r="W65" i="10"/>
  <c r="AF65" i="10"/>
  <c r="AP65" i="10"/>
  <c r="I66" i="10"/>
  <c r="X66" i="10" s="1"/>
  <c r="L66" i="10"/>
  <c r="M66" i="10"/>
  <c r="W66" i="10"/>
  <c r="AF66" i="10"/>
  <c r="AP66" i="10"/>
  <c r="I67" i="10"/>
  <c r="L67" i="10"/>
  <c r="M67" i="10"/>
  <c r="W67" i="10"/>
  <c r="AF67" i="10"/>
  <c r="AP67" i="10"/>
  <c r="I68" i="10"/>
  <c r="X68" i="10" s="1"/>
  <c r="L68" i="10"/>
  <c r="M68" i="10"/>
  <c r="AA68" i="10" s="1"/>
  <c r="W68" i="10"/>
  <c r="AF68" i="10"/>
  <c r="AP68" i="10"/>
  <c r="I69" i="10"/>
  <c r="L69" i="10"/>
  <c r="M69" i="10"/>
  <c r="W69" i="10"/>
  <c r="AF69" i="10"/>
  <c r="AP69" i="10"/>
  <c r="I70" i="10"/>
  <c r="Y70" i="10" s="1"/>
  <c r="L70" i="10"/>
  <c r="M70" i="10"/>
  <c r="W70" i="10"/>
  <c r="AF70" i="10"/>
  <c r="AP70" i="10"/>
  <c r="I71" i="10"/>
  <c r="L71" i="10"/>
  <c r="M71" i="10"/>
  <c r="W71" i="10"/>
  <c r="AF71" i="10"/>
  <c r="AP71" i="10"/>
  <c r="I72" i="10"/>
  <c r="X72" i="10" s="1"/>
  <c r="L72" i="10"/>
  <c r="M72" i="10"/>
  <c r="W72" i="10"/>
  <c r="AF72" i="10"/>
  <c r="AP72" i="10"/>
  <c r="I73" i="10"/>
  <c r="L73" i="10"/>
  <c r="M73" i="10"/>
  <c r="N73" i="10"/>
  <c r="W73" i="10"/>
  <c r="AA73" i="10" s="1"/>
  <c r="X73" i="10"/>
  <c r="AF73" i="10"/>
  <c r="AG73" i="10"/>
  <c r="AP73" i="10"/>
  <c r="I74" i="10"/>
  <c r="Y74" i="10" s="1"/>
  <c r="L74" i="10"/>
  <c r="M74" i="10"/>
  <c r="N74" i="10"/>
  <c r="W74" i="10"/>
  <c r="X74" i="10"/>
  <c r="AF74" i="10"/>
  <c r="AG74" i="10"/>
  <c r="AP74" i="10"/>
  <c r="I75" i="10"/>
  <c r="L75" i="10"/>
  <c r="M75" i="10"/>
  <c r="N75" i="10"/>
  <c r="W75" i="10"/>
  <c r="AA75" i="10" s="1"/>
  <c r="X75" i="10"/>
  <c r="AB75" i="10" s="1"/>
  <c r="AF75" i="10"/>
  <c r="AG75" i="10"/>
  <c r="AP75" i="10"/>
  <c r="I76" i="10"/>
  <c r="L76" i="10"/>
  <c r="M76" i="10"/>
  <c r="N76" i="10"/>
  <c r="W76" i="10"/>
  <c r="AA76" i="10" s="1"/>
  <c r="X76" i="10"/>
  <c r="AB76" i="10" s="1"/>
  <c r="AF76" i="10"/>
  <c r="AG76" i="10"/>
  <c r="AP76" i="10"/>
  <c r="I77" i="10"/>
  <c r="Z77" i="10" s="1"/>
  <c r="L77" i="10"/>
  <c r="M77" i="10"/>
  <c r="N77" i="10"/>
  <c r="W77" i="10"/>
  <c r="AA77" i="10" s="1"/>
  <c r="X77" i="10"/>
  <c r="AB77" i="10" s="1"/>
  <c r="AF77" i="10"/>
  <c r="AG77" i="10"/>
  <c r="AP77" i="10"/>
  <c r="I78" i="10"/>
  <c r="J78" i="10"/>
  <c r="K78" i="10"/>
  <c r="L78" i="10"/>
  <c r="AQ78" i="10"/>
  <c r="I79" i="10"/>
  <c r="J79" i="10"/>
  <c r="K79" i="10"/>
  <c r="L79" i="10"/>
  <c r="M79" i="10"/>
  <c r="W79" i="10"/>
  <c r="AF79" i="10"/>
  <c r="AP79" i="10"/>
  <c r="I80" i="10"/>
  <c r="X80" i="10" s="1"/>
  <c r="J80" i="10"/>
  <c r="K80" i="10"/>
  <c r="L80" i="10"/>
  <c r="M80" i="10"/>
  <c r="W80" i="10"/>
  <c r="AF80" i="10"/>
  <c r="AP80" i="10"/>
  <c r="I81" i="10"/>
  <c r="L81" i="10"/>
  <c r="M81" i="10"/>
  <c r="W81" i="10"/>
  <c r="AF81" i="10"/>
  <c r="AP81" i="10"/>
  <c r="Z142" i="10"/>
  <c r="AA170" i="10"/>
  <c r="W139" i="10"/>
  <c r="Y148" i="10"/>
  <c r="Z136" i="10"/>
  <c r="Z146" i="10"/>
  <c r="W144" i="10"/>
  <c r="Z156" i="10"/>
  <c r="Z65" i="10"/>
  <c r="Y156" i="10"/>
  <c r="W156" i="10"/>
  <c r="Z86" i="10"/>
  <c r="Y71" i="10"/>
  <c r="Z132" i="10"/>
  <c r="AB170" i="10"/>
  <c r="Z144" i="10"/>
  <c r="X168" i="10"/>
  <c r="Z125" i="10"/>
  <c r="Y125" i="10"/>
  <c r="X125" i="10"/>
  <c r="X115" i="10"/>
  <c r="AA162" i="10"/>
  <c r="AA138" i="10"/>
  <c r="AA90" i="10"/>
  <c r="Z121" i="10"/>
  <c r="AA74" i="10"/>
  <c r="AA118" i="10"/>
  <c r="Z109" i="10"/>
  <c r="AA151" i="10"/>
  <c r="Z104" i="10"/>
  <c r="Y109" i="10"/>
  <c r="Z152" i="10"/>
  <c r="Y104" i="10"/>
  <c r="X104" i="10"/>
  <c r="Z82" i="10"/>
  <c r="AB121" i="10"/>
  <c r="Z140" i="10"/>
  <c r="Z170" i="10"/>
  <c r="Z90" i="10"/>
  <c r="Y82" i="10"/>
  <c r="AA121" i="10"/>
  <c r="Z130" i="10"/>
  <c r="AB128" i="10"/>
  <c r="AA109" i="10"/>
  <c r="Z182" i="10"/>
  <c r="Z176" i="10"/>
  <c r="Z174" i="10"/>
  <c r="Y182" i="10"/>
  <c r="Y176" i="10"/>
  <c r="Y174" i="10"/>
  <c r="X176" i="10"/>
  <c r="X174" i="10"/>
  <c r="Z185" i="10"/>
  <c r="Z183" i="10"/>
  <c r="Z181" i="10"/>
  <c r="Z175" i="10"/>
  <c r="Z173" i="10"/>
  <c r="Z167" i="10"/>
  <c r="Y185" i="10"/>
  <c r="Y183" i="10"/>
  <c r="Y181" i="10"/>
  <c r="Y175" i="10"/>
  <c r="Y167" i="10"/>
  <c r="X181" i="10"/>
  <c r="X167" i="10"/>
  <c r="Z161" i="10"/>
  <c r="Z157" i="10"/>
  <c r="Z149" i="10"/>
  <c r="Y163" i="10"/>
  <c r="Y161" i="10"/>
  <c r="Y159" i="10"/>
  <c r="Y157" i="10"/>
  <c r="Y153" i="10"/>
  <c r="Y149" i="10"/>
  <c r="X161" i="10"/>
  <c r="X157" i="10"/>
  <c r="X155" i="10"/>
  <c r="Z145" i="10"/>
  <c r="Z139" i="10"/>
  <c r="Z131" i="10"/>
  <c r="Y145" i="10"/>
  <c r="Y137" i="10"/>
  <c r="Y129" i="10"/>
  <c r="Y146" i="10"/>
  <c r="Y142" i="10"/>
  <c r="Y130" i="10"/>
  <c r="X130" i="10"/>
  <c r="Z126" i="10"/>
  <c r="Z118" i="10"/>
  <c r="Z116" i="10"/>
  <c r="Z114" i="10"/>
  <c r="Y126" i="10"/>
  <c r="Y118" i="10"/>
  <c r="Y116" i="10"/>
  <c r="Y114" i="10"/>
  <c r="X124" i="10"/>
  <c r="X114" i="10"/>
  <c r="Z105" i="10"/>
  <c r="Z103" i="10"/>
  <c r="Z85" i="10"/>
  <c r="Y103" i="10"/>
  <c r="Y85" i="10"/>
  <c r="Y83" i="10"/>
  <c r="X103" i="10"/>
  <c r="Z74" i="10"/>
  <c r="Z72" i="10"/>
  <c r="Z68" i="10"/>
  <c r="Z62" i="10"/>
  <c r="Y72" i="10"/>
  <c r="C8" i="50"/>
  <c r="C9" i="50"/>
  <c r="C10" i="50"/>
  <c r="C7" i="50"/>
  <c r="C14" i="53"/>
  <c r="B14" i="53"/>
  <c r="C13" i="53"/>
  <c r="B13" i="53"/>
  <c r="C10" i="53"/>
  <c r="B10" i="53"/>
  <c r="F8" i="20"/>
  <c r="C8" i="20"/>
  <c r="B8" i="20"/>
  <c r="F74" i="14"/>
  <c r="F79" i="14" s="1"/>
  <c r="F83" i="14" s="1"/>
  <c r="E74" i="14"/>
  <c r="E79" i="14"/>
  <c r="E83" i="14" s="1"/>
  <c r="D74" i="14"/>
  <c r="D79" i="14" s="1"/>
  <c r="D83" i="14" s="1"/>
  <c r="B74" i="14"/>
  <c r="B79" i="14" s="1"/>
  <c r="B83" i="14" s="1"/>
  <c r="C74" i="14"/>
  <c r="C79" i="14" s="1"/>
  <c r="C83" i="14" s="1"/>
  <c r="B97" i="14"/>
  <c r="B101" i="14" s="1"/>
  <c r="B28" i="53" s="1"/>
  <c r="C9" i="20"/>
  <c r="D9" i="20"/>
  <c r="F9" i="20"/>
  <c r="B9" i="20"/>
  <c r="B6" i="26"/>
  <c r="B6" i="10"/>
  <c r="Q174" i="10" s="1"/>
  <c r="B5" i="26"/>
  <c r="B4" i="26"/>
  <c r="C9" i="53"/>
  <c r="B9" i="53"/>
  <c r="AF18" i="24"/>
  <c r="D16" i="7" s="1"/>
  <c r="AF17" i="24"/>
  <c r="AF16" i="24"/>
  <c r="Q102" i="10"/>
  <c r="R102" i="10" s="1"/>
  <c r="Q95" i="10"/>
  <c r="Q126" i="10"/>
  <c r="Q181" i="10"/>
  <c r="Q111" i="10"/>
  <c r="Q68" i="10"/>
  <c r="Q136" i="10"/>
  <c r="Q70" i="10"/>
  <c r="Q169" i="10"/>
  <c r="Q90" i="10"/>
  <c r="Q137" i="10"/>
  <c r="Q118" i="10"/>
  <c r="Q79" i="10"/>
  <c r="R79" i="10" s="1"/>
  <c r="Q166" i="10"/>
  <c r="Q123" i="10"/>
  <c r="Q83" i="10"/>
  <c r="Q103" i="10"/>
  <c r="Q105" i="10"/>
  <c r="Q150" i="10"/>
  <c r="Q180" i="10"/>
  <c r="Q153" i="10"/>
  <c r="Q112" i="10"/>
  <c r="Q82" i="10"/>
  <c r="R82" i="10" s="1"/>
  <c r="C17" i="53"/>
  <c r="B17" i="53"/>
  <c r="AB8" i="4"/>
  <c r="AB9" i="4"/>
  <c r="AB10" i="4"/>
  <c r="AB11" i="4"/>
  <c r="AB12"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B72" i="4"/>
  <c r="AB73" i="4"/>
  <c r="AB74" i="4"/>
  <c r="AB75" i="4"/>
  <c r="AB76" i="4"/>
  <c r="AB77" i="4"/>
  <c r="AB78" i="4"/>
  <c r="AB79" i="4"/>
  <c r="AB80" i="4"/>
  <c r="AB81" i="4"/>
  <c r="AB82" i="4"/>
  <c r="AB83" i="4"/>
  <c r="AB84" i="4"/>
  <c r="AB85" i="4"/>
  <c r="AB86" i="4"/>
  <c r="AB87" i="4"/>
  <c r="AB88" i="4"/>
  <c r="AB89" i="4"/>
  <c r="AB90" i="4"/>
  <c r="AB91" i="4"/>
  <c r="AB92" i="4"/>
  <c r="AB93" i="4"/>
  <c r="AB94" i="4"/>
  <c r="AB95" i="4"/>
  <c r="AB96"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21" i="4"/>
  <c r="AB122" i="4"/>
  <c r="AB123" i="4"/>
  <c r="AB124" i="4"/>
  <c r="AB125" i="4"/>
  <c r="AB126" i="4"/>
  <c r="AB127" i="4"/>
  <c r="AB128" i="4"/>
  <c r="AB129" i="4"/>
  <c r="AB130" i="4"/>
  <c r="AB131" i="4"/>
  <c r="AB132" i="4"/>
  <c r="AB133" i="4"/>
  <c r="AB134" i="4"/>
  <c r="AB135" i="4"/>
  <c r="AB136" i="4"/>
  <c r="AB137" i="4"/>
  <c r="AB138" i="4"/>
  <c r="AB139" i="4"/>
  <c r="AB140" i="4"/>
  <c r="AB141" i="4"/>
  <c r="AB142" i="4"/>
  <c r="AB143" i="4"/>
  <c r="AB144" i="4"/>
  <c r="AB145" i="4"/>
  <c r="AB146" i="4"/>
  <c r="AB147" i="4"/>
  <c r="AB148" i="4"/>
  <c r="AB149" i="4"/>
  <c r="AB150" i="4"/>
  <c r="AB151" i="4"/>
  <c r="AB152" i="4"/>
  <c r="AB153" i="4"/>
  <c r="AB154" i="4"/>
  <c r="AB155" i="4"/>
  <c r="AB156" i="4"/>
  <c r="AB157" i="4"/>
  <c r="AB158" i="4"/>
  <c r="AB159" i="4"/>
  <c r="AB160" i="4"/>
  <c r="AB161" i="4"/>
  <c r="AB162" i="4"/>
  <c r="AB163" i="4"/>
  <c r="AB164" i="4"/>
  <c r="AB165" i="4"/>
  <c r="AB166" i="4"/>
  <c r="AB167" i="4"/>
  <c r="AB168" i="4"/>
  <c r="AB169" i="4"/>
  <c r="AB170" i="4"/>
  <c r="AB171" i="4"/>
  <c r="AB172" i="4"/>
  <c r="AB173" i="4"/>
  <c r="AB174" i="4"/>
  <c r="AB175" i="4"/>
  <c r="AB176" i="4"/>
  <c r="AB177" i="4"/>
  <c r="AB178" i="4"/>
  <c r="AB179" i="4"/>
  <c r="AB180" i="4"/>
  <c r="AB181" i="4"/>
  <c r="AB182" i="4"/>
  <c r="AB183" i="4"/>
  <c r="AB184" i="4"/>
  <c r="AB185" i="4"/>
  <c r="AB186" i="4"/>
  <c r="AB187" i="4"/>
  <c r="AB188" i="4"/>
  <c r="AB189" i="4"/>
  <c r="AB190" i="4"/>
  <c r="AB191" i="4"/>
  <c r="AB192" i="4"/>
  <c r="AB193" i="4"/>
  <c r="AB194" i="4"/>
  <c r="AB195" i="4"/>
  <c r="AB196" i="4"/>
  <c r="AB197" i="4"/>
  <c r="AB198" i="4"/>
  <c r="AB199" i="4"/>
  <c r="AB200" i="4"/>
  <c r="AB201" i="4"/>
  <c r="AB202" i="4"/>
  <c r="AB203" i="4"/>
  <c r="AB204" i="4"/>
  <c r="AB205" i="4"/>
  <c r="AB206" i="4"/>
  <c r="AB207" i="4"/>
  <c r="AB208" i="4"/>
  <c r="AB209" i="4"/>
  <c r="AB210" i="4"/>
  <c r="AB211" i="4"/>
  <c r="AB212" i="4"/>
  <c r="AB213" i="4"/>
  <c r="AB214" i="4"/>
  <c r="AB215" i="4"/>
  <c r="AB216" i="4"/>
  <c r="AB217" i="4"/>
  <c r="AB218" i="4"/>
  <c r="AB219" i="4"/>
  <c r="AB220" i="4"/>
  <c r="AB221" i="4"/>
  <c r="AB222" i="4"/>
  <c r="AB223" i="4"/>
  <c r="AB224" i="4"/>
  <c r="AB225" i="4"/>
  <c r="AB226" i="4"/>
  <c r="AB227" i="4"/>
  <c r="AB228" i="4"/>
  <c r="AB229" i="4"/>
  <c r="AB230" i="4"/>
  <c r="AB231" i="4"/>
  <c r="AB232" i="4"/>
  <c r="AB233" i="4"/>
  <c r="AB234" i="4"/>
  <c r="AB235" i="4"/>
  <c r="AB236" i="4"/>
  <c r="AB237" i="4"/>
  <c r="AB238" i="4"/>
  <c r="AB239" i="4"/>
  <c r="AB240" i="4"/>
  <c r="AB241" i="4"/>
  <c r="AB242" i="4"/>
  <c r="AB243" i="4"/>
  <c r="AB244" i="4"/>
  <c r="AB245" i="4"/>
  <c r="AB246" i="4"/>
  <c r="AB247" i="4"/>
  <c r="AB248" i="4"/>
  <c r="AB249" i="4"/>
  <c r="AB250" i="4"/>
  <c r="AB251" i="4"/>
  <c r="AB252" i="4"/>
  <c r="AB253" i="4"/>
  <c r="AB254" i="4"/>
  <c r="AB255" i="4"/>
  <c r="AB256" i="4"/>
  <c r="AB257" i="4"/>
  <c r="AB258" i="4"/>
  <c r="AB259" i="4"/>
  <c r="AB260" i="4"/>
  <c r="AB261" i="4"/>
  <c r="AB262" i="4"/>
  <c r="AB263" i="4"/>
  <c r="AB264" i="4"/>
  <c r="AB265" i="4"/>
  <c r="AB266" i="4"/>
  <c r="AB267" i="4"/>
  <c r="AB268" i="4"/>
  <c r="AB269" i="4"/>
  <c r="AB270" i="4"/>
  <c r="AB271" i="4"/>
  <c r="AB272" i="4"/>
  <c r="AB273" i="4"/>
  <c r="AB274" i="4"/>
  <c r="AB275" i="4"/>
  <c r="AB276" i="4"/>
  <c r="AB277" i="4"/>
  <c r="AB278" i="4"/>
  <c r="AB279" i="4"/>
  <c r="AB280" i="4"/>
  <c r="AB281" i="4"/>
  <c r="AB282" i="4"/>
  <c r="AB283" i="4"/>
  <c r="AB284" i="4"/>
  <c r="AB285" i="4"/>
  <c r="AB286" i="4"/>
  <c r="AB287" i="4"/>
  <c r="AB288" i="4"/>
  <c r="AB289" i="4"/>
  <c r="AB290" i="4"/>
  <c r="AB291" i="4"/>
  <c r="AB292" i="4"/>
  <c r="AB293" i="4"/>
  <c r="AB294" i="4"/>
  <c r="AB295" i="4"/>
  <c r="AB296" i="4"/>
  <c r="AB297" i="4"/>
  <c r="AB298" i="4"/>
  <c r="AB299" i="4"/>
  <c r="AB300" i="4"/>
  <c r="AB301" i="4"/>
  <c r="AB302" i="4"/>
  <c r="AB303" i="4"/>
  <c r="AB304" i="4"/>
  <c r="AB305" i="4"/>
  <c r="AB306" i="4"/>
  <c r="AB307" i="4"/>
  <c r="AB308" i="4"/>
  <c r="AB309" i="4"/>
  <c r="AB310" i="4"/>
  <c r="AB311" i="4"/>
  <c r="AB312" i="4"/>
  <c r="AB313" i="4"/>
  <c r="AB314" i="4"/>
  <c r="AB315" i="4"/>
  <c r="AB316" i="4"/>
  <c r="AB317" i="4"/>
  <c r="AB318" i="4"/>
  <c r="AB319" i="4"/>
  <c r="AB320" i="4"/>
  <c r="AB321" i="4"/>
  <c r="AB322" i="4"/>
  <c r="AB323" i="4"/>
  <c r="AB324" i="4"/>
  <c r="AB325" i="4"/>
  <c r="AB326" i="4"/>
  <c r="AB327" i="4"/>
  <c r="AB328" i="4"/>
  <c r="AB329" i="4"/>
  <c r="AB330" i="4"/>
  <c r="AB331" i="4"/>
  <c r="AB332" i="4"/>
  <c r="AB333" i="4"/>
  <c r="AB334" i="4"/>
  <c r="AB335" i="4"/>
  <c r="AB336" i="4"/>
  <c r="AB337" i="4"/>
  <c r="AB338" i="4"/>
  <c r="AB339" i="4"/>
  <c r="AB340" i="4"/>
  <c r="AB341" i="4"/>
  <c r="AB342" i="4"/>
  <c r="AB343" i="4"/>
  <c r="AB344" i="4"/>
  <c r="AB345" i="4"/>
  <c r="AB346" i="4"/>
  <c r="AB347" i="4"/>
  <c r="AB348" i="4"/>
  <c r="AB349" i="4"/>
  <c r="AB350" i="4"/>
  <c r="AB351" i="4"/>
  <c r="AB352" i="4"/>
  <c r="AB353" i="4"/>
  <c r="AB354" i="4"/>
  <c r="AB355" i="4"/>
  <c r="AB356" i="4"/>
  <c r="AB357" i="4"/>
  <c r="AB358" i="4"/>
  <c r="AB359" i="4"/>
  <c r="AB360" i="4"/>
  <c r="AB361" i="4"/>
  <c r="AB362" i="4"/>
  <c r="AB363" i="4"/>
  <c r="AB364" i="4"/>
  <c r="AB365" i="4"/>
  <c r="AB366" i="4"/>
  <c r="AB367" i="4"/>
  <c r="AB368" i="4"/>
  <c r="AB369" i="4"/>
  <c r="AB370" i="4"/>
  <c r="AB371" i="4"/>
  <c r="AB372" i="4"/>
  <c r="AB373" i="4"/>
  <c r="AB374" i="4"/>
  <c r="AB375" i="4"/>
  <c r="AB376" i="4"/>
  <c r="AB377" i="4"/>
  <c r="AB378" i="4"/>
  <c r="AB379" i="4"/>
  <c r="AB380" i="4"/>
  <c r="AB381" i="4"/>
  <c r="AB382" i="4"/>
  <c r="AB383" i="4"/>
  <c r="AB384" i="4"/>
  <c r="AB385" i="4"/>
  <c r="AB386" i="4"/>
  <c r="AB387" i="4"/>
  <c r="AB388" i="4"/>
  <c r="AB389" i="4"/>
  <c r="AB390" i="4"/>
  <c r="AB391" i="4"/>
  <c r="AB392" i="4"/>
  <c r="AB393" i="4"/>
  <c r="AB394" i="4"/>
  <c r="AB395" i="4"/>
  <c r="AB396" i="4"/>
  <c r="AB397" i="4"/>
  <c r="AB398" i="4"/>
  <c r="AB399" i="4"/>
  <c r="AB400" i="4"/>
  <c r="AB401" i="4"/>
  <c r="AB402" i="4"/>
  <c r="AB403" i="4"/>
  <c r="AB404" i="4"/>
  <c r="AB405" i="4"/>
  <c r="AB406" i="4"/>
  <c r="AB407" i="4"/>
  <c r="AB408" i="4"/>
  <c r="AB409" i="4"/>
  <c r="AB410" i="4"/>
  <c r="AB411" i="4"/>
  <c r="AB412" i="4"/>
  <c r="AB413" i="4"/>
  <c r="AB414" i="4"/>
  <c r="AB415" i="4"/>
  <c r="AB416" i="4"/>
  <c r="AB417" i="4"/>
  <c r="AB418" i="4"/>
  <c r="AB419" i="4"/>
  <c r="AB420" i="4"/>
  <c r="AB421" i="4"/>
  <c r="AB422" i="4"/>
  <c r="AB423" i="4"/>
  <c r="AB424" i="4"/>
  <c r="AB425" i="4"/>
  <c r="AB426" i="4"/>
  <c r="AB427" i="4"/>
  <c r="AB428" i="4"/>
  <c r="AB429" i="4"/>
  <c r="AB430" i="4"/>
  <c r="AB431" i="4"/>
  <c r="AB432" i="4"/>
  <c r="AB433" i="4"/>
  <c r="AB434" i="4"/>
  <c r="AB435" i="4"/>
  <c r="AB436" i="4"/>
  <c r="AB437" i="4"/>
  <c r="AB438" i="4"/>
  <c r="AB439" i="4"/>
  <c r="AB440" i="4"/>
  <c r="AB441" i="4"/>
  <c r="AB442" i="4"/>
  <c r="AB443" i="4"/>
  <c r="AB444" i="4"/>
  <c r="AB445" i="4"/>
  <c r="AB446" i="4"/>
  <c r="AB447" i="4"/>
  <c r="AB448" i="4"/>
  <c r="AB449" i="4"/>
  <c r="AB450" i="4"/>
  <c r="AB451" i="4"/>
  <c r="AB452" i="4"/>
  <c r="AB453" i="4"/>
  <c r="AB454" i="4"/>
  <c r="AB455" i="4"/>
  <c r="AB456" i="4"/>
  <c r="AB457" i="4"/>
  <c r="AB458" i="4"/>
  <c r="AB459" i="4"/>
  <c r="AB460" i="4"/>
  <c r="AB461" i="4"/>
  <c r="AB462" i="4"/>
  <c r="AB463" i="4"/>
  <c r="AB464" i="4"/>
  <c r="AB465" i="4"/>
  <c r="AB466" i="4"/>
  <c r="AB467" i="4"/>
  <c r="AB468" i="4"/>
  <c r="AB469" i="4"/>
  <c r="AB470" i="4"/>
  <c r="AB471" i="4"/>
  <c r="AB472" i="4"/>
  <c r="AB473" i="4"/>
  <c r="AB474" i="4"/>
  <c r="AB475" i="4"/>
  <c r="AB476" i="4"/>
  <c r="AB477" i="4"/>
  <c r="AB478" i="4"/>
  <c r="AB479" i="4"/>
  <c r="AB480" i="4"/>
  <c r="AB481" i="4"/>
  <c r="AB482" i="4"/>
  <c r="AB483" i="4"/>
  <c r="AB484" i="4"/>
  <c r="AB485" i="4"/>
  <c r="AB486" i="4"/>
  <c r="AB487" i="4"/>
  <c r="AB488" i="4"/>
  <c r="AB489" i="4"/>
  <c r="AB490" i="4"/>
  <c r="AB491" i="4"/>
  <c r="AB492" i="4"/>
  <c r="AB493" i="4"/>
  <c r="AB494" i="4"/>
  <c r="AB495" i="4"/>
  <c r="AB496" i="4"/>
  <c r="AB497" i="4"/>
  <c r="AB498" i="4"/>
  <c r="AB499" i="4"/>
  <c r="AB500" i="4"/>
  <c r="AB501" i="4"/>
  <c r="AB502" i="4"/>
  <c r="AB503" i="4"/>
  <c r="AB504" i="4"/>
  <c r="AB505" i="4"/>
  <c r="AB506" i="4"/>
  <c r="AB507" i="4"/>
  <c r="AB508" i="4"/>
  <c r="AB509" i="4"/>
  <c r="AB510" i="4"/>
  <c r="AB511" i="4"/>
  <c r="AB512" i="4"/>
  <c r="AB513" i="4"/>
  <c r="AB514" i="4"/>
  <c r="AB515" i="4"/>
  <c r="AB516" i="4"/>
  <c r="AB517" i="4"/>
  <c r="AB518" i="4"/>
  <c r="AB519" i="4"/>
  <c r="AB520" i="4"/>
  <c r="AB521" i="4"/>
  <c r="AB522" i="4"/>
  <c r="AB523" i="4"/>
  <c r="AB524" i="4"/>
  <c r="AB525" i="4"/>
  <c r="AB526" i="4"/>
  <c r="AB527" i="4"/>
  <c r="AB528" i="4"/>
  <c r="AB529" i="4"/>
  <c r="AB530" i="4"/>
  <c r="AB531" i="4"/>
  <c r="AB532" i="4"/>
  <c r="AB533" i="4"/>
  <c r="AB534" i="4"/>
  <c r="AB535" i="4"/>
  <c r="AB536" i="4"/>
  <c r="AB537" i="4"/>
  <c r="AB538" i="4"/>
  <c r="AB539" i="4"/>
  <c r="AB540" i="4"/>
  <c r="AB541" i="4"/>
  <c r="AB542" i="4"/>
  <c r="AB543" i="4"/>
  <c r="AB544" i="4"/>
  <c r="AB545" i="4"/>
  <c r="AB546" i="4"/>
  <c r="AB547" i="4"/>
  <c r="AB548" i="4"/>
  <c r="AB549" i="4"/>
  <c r="AB550" i="4"/>
  <c r="AB551" i="4"/>
  <c r="AB552" i="4"/>
  <c r="AB553" i="4"/>
  <c r="AB554" i="4"/>
  <c r="AB555" i="4"/>
  <c r="AB556" i="4"/>
  <c r="AB557" i="4"/>
  <c r="AB8" i="5"/>
  <c r="AB9" i="5"/>
  <c r="AB10" i="5"/>
  <c r="AB11" i="5"/>
  <c r="AB12" i="5"/>
  <c r="AB13" i="5"/>
  <c r="AB14" i="5"/>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 i="4"/>
  <c r="A57" i="26"/>
  <c r="A8" i="50" s="1"/>
  <c r="B57" i="26"/>
  <c r="B8" i="50" s="1"/>
  <c r="A58" i="26"/>
  <c r="A9" i="50" s="1"/>
  <c r="B58" i="26"/>
  <c r="B9" i="50" s="1"/>
  <c r="A59" i="26"/>
  <c r="A10" i="50" s="1"/>
  <c r="B59" i="26"/>
  <c r="B10" i="50" s="1"/>
  <c r="B56" i="26"/>
  <c r="B7" i="50" s="1"/>
  <c r="A56" i="26"/>
  <c r="A7" i="50" s="1"/>
  <c r="B39" i="18"/>
  <c r="B40" i="18"/>
  <c r="B38" i="18"/>
  <c r="D8" i="20"/>
  <c r="D10" i="20" s="1"/>
  <c r="D4" i="28"/>
  <c r="C4" i="28"/>
  <c r="I14" i="28"/>
  <c r="G12" i="28"/>
  <c r="AP60" i="10"/>
  <c r="AF10" i="24"/>
  <c r="D10" i="7" s="1"/>
  <c r="AF12" i="24"/>
  <c r="AF11" i="24"/>
  <c r="Q9" i="14"/>
  <c r="P9" i="14"/>
  <c r="C23" i="21"/>
  <c r="C22" i="21"/>
  <c r="C21" i="21"/>
  <c r="R9" i="14"/>
  <c r="Q11" i="14" s="1"/>
  <c r="A126" i="26"/>
  <c r="A119" i="26"/>
  <c r="A112" i="26"/>
  <c r="A133" i="26"/>
  <c r="C194" i="10"/>
  <c r="D199" i="10"/>
  <c r="A105" i="26"/>
  <c r="A98" i="26"/>
  <c r="A91" i="26"/>
  <c r="A84" i="26"/>
  <c r="A77" i="26"/>
  <c r="A70" i="26"/>
  <c r="A63" i="26"/>
  <c r="H13" i="28"/>
  <c r="F11" i="28"/>
  <c r="AB7" i="5"/>
  <c r="D192" i="10"/>
  <c r="F13" i="26"/>
  <c r="E12" i="26"/>
  <c r="D11" i="26"/>
  <c r="C10" i="26"/>
  <c r="Q60" i="10"/>
  <c r="D11" i="10"/>
  <c r="N98" i="10" s="1"/>
  <c r="E12" i="10"/>
  <c r="O76" i="10" s="1"/>
  <c r="F13" i="10"/>
  <c r="C10" i="10"/>
  <c r="M165" i="10" s="1"/>
  <c r="AA165" i="10" s="1"/>
  <c r="AF165" i="10" s="1"/>
  <c r="N95" i="10"/>
  <c r="S95" i="10" s="1"/>
  <c r="N100" i="10"/>
  <c r="N91" i="10"/>
  <c r="M179" i="10"/>
  <c r="M137" i="10"/>
  <c r="AA137" i="10" s="1"/>
  <c r="AF137" i="10" s="1"/>
  <c r="M113" i="10"/>
  <c r="M105" i="10"/>
  <c r="M160" i="10"/>
  <c r="M153" i="10"/>
  <c r="N80" i="10"/>
  <c r="AB80" i="10" s="1"/>
  <c r="AG80" i="10" s="1"/>
  <c r="N135" i="10"/>
  <c r="N169" i="10"/>
  <c r="N148" i="10"/>
  <c r="N173" i="10"/>
  <c r="N127" i="10"/>
  <c r="N134" i="10"/>
  <c r="N117" i="10"/>
  <c r="O187" i="10"/>
  <c r="O121" i="10"/>
  <c r="AC121" i="10" s="1"/>
  <c r="AH121" i="10" s="1"/>
  <c r="O89" i="10"/>
  <c r="AC89" i="10" s="1"/>
  <c r="AH89" i="10" s="1"/>
  <c r="O151" i="10"/>
  <c r="M60" i="10"/>
  <c r="B65" i="14"/>
  <c r="B13" i="57" s="1"/>
  <c r="B14" i="28"/>
  <c r="G6" i="7"/>
  <c r="G5" i="7"/>
  <c r="G10" i="7" s="1"/>
  <c r="G5" i="5"/>
  <c r="G7" i="5" s="1"/>
  <c r="R64" i="14"/>
  <c r="B13" i="26"/>
  <c r="D11" i="7"/>
  <c r="B64" i="14"/>
  <c r="B13" i="28" s="1"/>
  <c r="B12" i="26"/>
  <c r="N468" i="24"/>
  <c r="C465" i="6" s="1"/>
  <c r="N101" i="24"/>
  <c r="C98" i="6"/>
  <c r="L19" i="28"/>
  <c r="L20" i="28"/>
  <c r="L21" i="28"/>
  <c r="L22" i="28"/>
  <c r="L23" i="28"/>
  <c r="L24" i="28"/>
  <c r="L25" i="28"/>
  <c r="L26" i="28"/>
  <c r="L27" i="28"/>
  <c r="L28" i="28"/>
  <c r="L29" i="28"/>
  <c r="L30" i="28"/>
  <c r="L18" i="28"/>
  <c r="L31" i="28"/>
  <c r="B36" i="28"/>
  <c r="B4" i="10"/>
  <c r="AJ74" i="10" s="1"/>
  <c r="B5" i="10"/>
  <c r="E31" i="10"/>
  <c r="L60" i="10"/>
  <c r="D194" i="10"/>
  <c r="E199" i="10" s="1"/>
  <c r="D12" i="7"/>
  <c r="C93" i="14"/>
  <c r="E53" i="10"/>
  <c r="K92" i="10" s="1"/>
  <c r="E49" i="10"/>
  <c r="E50" i="10"/>
  <c r="E48" i="10"/>
  <c r="N10" i="24"/>
  <c r="C7" i="6" s="1"/>
  <c r="N11" i="24"/>
  <c r="C8" i="6" s="1"/>
  <c r="N12" i="24"/>
  <c r="C9" i="6" s="1"/>
  <c r="N13" i="24"/>
  <c r="C10" i="6" s="1"/>
  <c r="N14" i="24"/>
  <c r="C11" i="6" s="1"/>
  <c r="N15" i="24"/>
  <c r="C12" i="6" s="1"/>
  <c r="N16" i="24"/>
  <c r="C13" i="6" s="1"/>
  <c r="N17" i="24"/>
  <c r="C14" i="6" s="1"/>
  <c r="N18" i="24"/>
  <c r="C15" i="6" s="1"/>
  <c r="N19" i="24"/>
  <c r="C16" i="6" s="1"/>
  <c r="N20" i="24"/>
  <c r="C17" i="6" s="1"/>
  <c r="N21" i="24"/>
  <c r="C18" i="6" s="1"/>
  <c r="N22" i="24"/>
  <c r="C19" i="6" s="1"/>
  <c r="N23" i="24"/>
  <c r="C20" i="6" s="1"/>
  <c r="N24" i="24"/>
  <c r="C21" i="6" s="1"/>
  <c r="N25" i="24"/>
  <c r="C22" i="6" s="1"/>
  <c r="N26" i="24"/>
  <c r="C23" i="6" s="1"/>
  <c r="N27" i="24"/>
  <c r="C24" i="6" s="1"/>
  <c r="N28" i="24"/>
  <c r="C25" i="6" s="1"/>
  <c r="N29" i="24"/>
  <c r="C26" i="6" s="1"/>
  <c r="N30" i="24"/>
  <c r="C27" i="6" s="1"/>
  <c r="N31" i="24"/>
  <c r="C28" i="6" s="1"/>
  <c r="N32" i="24"/>
  <c r="C29" i="6" s="1"/>
  <c r="N33" i="24"/>
  <c r="C30" i="6" s="1"/>
  <c r="N34" i="24"/>
  <c r="C31" i="6" s="1"/>
  <c r="N35" i="24"/>
  <c r="C32" i="6" s="1"/>
  <c r="N36" i="24"/>
  <c r="C33" i="6" s="1"/>
  <c r="N37" i="24"/>
  <c r="C34" i="6" s="1"/>
  <c r="N38" i="24"/>
  <c r="C35" i="6" s="1"/>
  <c r="N39" i="24"/>
  <c r="C36" i="6" s="1"/>
  <c r="N40" i="24"/>
  <c r="C37" i="6" s="1"/>
  <c r="N41" i="24"/>
  <c r="C38" i="6" s="1"/>
  <c r="N42" i="24"/>
  <c r="C39" i="6" s="1"/>
  <c r="N43" i="24"/>
  <c r="C40" i="6" s="1"/>
  <c r="N44" i="24"/>
  <c r="C41" i="6" s="1"/>
  <c r="N45" i="24"/>
  <c r="C42" i="6" s="1"/>
  <c r="N46" i="24"/>
  <c r="C43" i="6" s="1"/>
  <c r="N47" i="24"/>
  <c r="C44" i="6" s="1"/>
  <c r="N48" i="24"/>
  <c r="C45" i="6" s="1"/>
  <c r="N49" i="24"/>
  <c r="C46" i="6" s="1"/>
  <c r="N50" i="24"/>
  <c r="C47" i="6" s="1"/>
  <c r="N51" i="24"/>
  <c r="C48" i="6" s="1"/>
  <c r="N52" i="24"/>
  <c r="C49" i="6" s="1"/>
  <c r="N53" i="24"/>
  <c r="C50" i="6" s="1"/>
  <c r="N54" i="24"/>
  <c r="C51" i="6" s="1"/>
  <c r="N55" i="24"/>
  <c r="C52" i="6" s="1"/>
  <c r="N56" i="24"/>
  <c r="C53" i="6" s="1"/>
  <c r="N57" i="24"/>
  <c r="C54" i="6" s="1"/>
  <c r="N58" i="24"/>
  <c r="C55" i="6" s="1"/>
  <c r="N59" i="24"/>
  <c r="C56" i="6" s="1"/>
  <c r="N60" i="24"/>
  <c r="C57" i="6" s="1"/>
  <c r="N61" i="24"/>
  <c r="C58" i="6" s="1"/>
  <c r="N62" i="24"/>
  <c r="C59" i="6" s="1"/>
  <c r="N63" i="24"/>
  <c r="C60" i="6" s="1"/>
  <c r="N64" i="24"/>
  <c r="C61" i="6" s="1"/>
  <c r="N65" i="24"/>
  <c r="C62" i="6" s="1"/>
  <c r="N66" i="24"/>
  <c r="C63" i="6" s="1"/>
  <c r="N67" i="24"/>
  <c r="C64" i="6" s="1"/>
  <c r="N68" i="24"/>
  <c r="C65" i="6" s="1"/>
  <c r="N69" i="24"/>
  <c r="C66" i="6" s="1"/>
  <c r="N70" i="24"/>
  <c r="C67" i="6" s="1"/>
  <c r="N71" i="24"/>
  <c r="C68" i="6" s="1"/>
  <c r="N72" i="24"/>
  <c r="C69" i="6" s="1"/>
  <c r="N73" i="24"/>
  <c r="C70" i="6" s="1"/>
  <c r="N74" i="24"/>
  <c r="C71" i="6" s="1"/>
  <c r="N75" i="24"/>
  <c r="C72" i="6" s="1"/>
  <c r="N76" i="24"/>
  <c r="C73" i="6" s="1"/>
  <c r="N77" i="24"/>
  <c r="C74" i="6" s="1"/>
  <c r="N78" i="24"/>
  <c r="C75" i="6" s="1"/>
  <c r="N79" i="24"/>
  <c r="C76" i="6" s="1"/>
  <c r="N80" i="24"/>
  <c r="C77" i="6" s="1"/>
  <c r="N81" i="24"/>
  <c r="C78" i="6" s="1"/>
  <c r="N82" i="24"/>
  <c r="C79" i="6" s="1"/>
  <c r="N83" i="24"/>
  <c r="C80" i="6" s="1"/>
  <c r="N84" i="24"/>
  <c r="C81" i="6" s="1"/>
  <c r="N85" i="24"/>
  <c r="C82" i="6"/>
  <c r="N86" i="24"/>
  <c r="C83" i="6"/>
  <c r="N87" i="24"/>
  <c r="C84" i="6"/>
  <c r="N88" i="24"/>
  <c r="C85" i="6"/>
  <c r="N89" i="24"/>
  <c r="C86" i="6"/>
  <c r="N90" i="24"/>
  <c r="C87" i="6"/>
  <c r="N91" i="24"/>
  <c r="C88" i="6"/>
  <c r="N92" i="24"/>
  <c r="C89" i="6"/>
  <c r="N93" i="24"/>
  <c r="C90" i="6"/>
  <c r="N94" i="24"/>
  <c r="C91" i="6"/>
  <c r="N95" i="24"/>
  <c r="C92" i="6"/>
  <c r="N96" i="24"/>
  <c r="C93" i="6"/>
  <c r="N97" i="24"/>
  <c r="C94" i="6"/>
  <c r="N98" i="24"/>
  <c r="C95" i="6"/>
  <c r="N99" i="24"/>
  <c r="C96" i="6"/>
  <c r="N100" i="24"/>
  <c r="C97" i="6"/>
  <c r="N102" i="24"/>
  <c r="C99" i="6"/>
  <c r="N103" i="24"/>
  <c r="C100" i="6"/>
  <c r="N104" i="24"/>
  <c r="C101" i="6"/>
  <c r="N105" i="24"/>
  <c r="C102" i="6"/>
  <c r="N106" i="24"/>
  <c r="C103" i="6"/>
  <c r="N107" i="24"/>
  <c r="C104" i="6"/>
  <c r="N108" i="24"/>
  <c r="C105" i="6"/>
  <c r="N109" i="24"/>
  <c r="C106" i="6"/>
  <c r="N110" i="24"/>
  <c r="C107" i="6"/>
  <c r="N111" i="24"/>
  <c r="C108" i="6"/>
  <c r="N112" i="24"/>
  <c r="C109" i="6"/>
  <c r="N113" i="24"/>
  <c r="C110" i="6"/>
  <c r="N114" i="24"/>
  <c r="C111" i="6"/>
  <c r="N115" i="24"/>
  <c r="C112" i="6"/>
  <c r="N116" i="24"/>
  <c r="C113" i="6"/>
  <c r="N117" i="24"/>
  <c r="C114" i="6"/>
  <c r="N118" i="24"/>
  <c r="C115" i="6"/>
  <c r="N119" i="24"/>
  <c r="C116" i="6" s="1"/>
  <c r="N120" i="24"/>
  <c r="C117" i="6"/>
  <c r="N121" i="24"/>
  <c r="C118" i="6" s="1"/>
  <c r="N122" i="24"/>
  <c r="C119" i="6" s="1"/>
  <c r="N123" i="24"/>
  <c r="C120" i="6" s="1"/>
  <c r="N124" i="24"/>
  <c r="C121" i="6" s="1"/>
  <c r="N125" i="24"/>
  <c r="C122" i="6" s="1"/>
  <c r="N126" i="24"/>
  <c r="C123" i="6" s="1"/>
  <c r="N127" i="24"/>
  <c r="C124" i="6" s="1"/>
  <c r="N128" i="24"/>
  <c r="C125" i="6" s="1"/>
  <c r="N129" i="24"/>
  <c r="C126" i="6" s="1"/>
  <c r="N130" i="24"/>
  <c r="C127" i="6" s="1"/>
  <c r="N131" i="24"/>
  <c r="C128" i="6" s="1"/>
  <c r="N132" i="24"/>
  <c r="C129" i="6" s="1"/>
  <c r="N133" i="24"/>
  <c r="C130" i="6" s="1"/>
  <c r="N134" i="24"/>
  <c r="C131" i="6" s="1"/>
  <c r="N135" i="24"/>
  <c r="C132" i="6" s="1"/>
  <c r="N136" i="24"/>
  <c r="C133" i="6" s="1"/>
  <c r="N137" i="24"/>
  <c r="C134" i="6" s="1"/>
  <c r="N138" i="24"/>
  <c r="C135" i="6" s="1"/>
  <c r="N139" i="24"/>
  <c r="C136" i="6" s="1"/>
  <c r="N140" i="24"/>
  <c r="C137" i="6" s="1"/>
  <c r="N141" i="24"/>
  <c r="C138" i="6" s="1"/>
  <c r="N142" i="24"/>
  <c r="C139" i="6" s="1"/>
  <c r="N143" i="24"/>
  <c r="C140" i="6" s="1"/>
  <c r="N144" i="24"/>
  <c r="C141" i="6" s="1"/>
  <c r="N145" i="24"/>
  <c r="C142" i="6" s="1"/>
  <c r="N146" i="24"/>
  <c r="C143" i="6" s="1"/>
  <c r="N147" i="24"/>
  <c r="C144" i="6" s="1"/>
  <c r="N148" i="24"/>
  <c r="C145" i="6" s="1"/>
  <c r="N149" i="24"/>
  <c r="C146" i="6" s="1"/>
  <c r="N150" i="24"/>
  <c r="C147" i="6" s="1"/>
  <c r="N151" i="24"/>
  <c r="C148" i="6" s="1"/>
  <c r="N152" i="24"/>
  <c r="C149" i="6" s="1"/>
  <c r="N153" i="24"/>
  <c r="C150" i="6" s="1"/>
  <c r="N154" i="24"/>
  <c r="C151" i="6" s="1"/>
  <c r="N155" i="24"/>
  <c r="C152" i="6" s="1"/>
  <c r="N156" i="24"/>
  <c r="C153" i="6" s="1"/>
  <c r="N157" i="24"/>
  <c r="C154" i="6" s="1"/>
  <c r="N158" i="24"/>
  <c r="C155" i="6" s="1"/>
  <c r="N159" i="24"/>
  <c r="C156" i="6" s="1"/>
  <c r="N160" i="24"/>
  <c r="C157" i="6" s="1"/>
  <c r="N161" i="24"/>
  <c r="C158" i="6" s="1"/>
  <c r="N162" i="24"/>
  <c r="C159" i="6" s="1"/>
  <c r="N163" i="24"/>
  <c r="C160" i="6" s="1"/>
  <c r="N164" i="24"/>
  <c r="C161" i="6" s="1"/>
  <c r="N165" i="24"/>
  <c r="C162" i="6" s="1"/>
  <c r="N166" i="24"/>
  <c r="C163" i="6" s="1"/>
  <c r="N167" i="24"/>
  <c r="C164" i="6" s="1"/>
  <c r="N168" i="24"/>
  <c r="C165" i="6" s="1"/>
  <c r="N169" i="24"/>
  <c r="C166" i="6" s="1"/>
  <c r="N170" i="24"/>
  <c r="C167" i="6" s="1"/>
  <c r="N171" i="24"/>
  <c r="C168" i="6" s="1"/>
  <c r="N172" i="24"/>
  <c r="C169" i="6" s="1"/>
  <c r="N173" i="24"/>
  <c r="C170" i="6" s="1"/>
  <c r="N174" i="24"/>
  <c r="C171" i="6" s="1"/>
  <c r="N175" i="24"/>
  <c r="C172" i="6" s="1"/>
  <c r="N176" i="24"/>
  <c r="C173" i="6" s="1"/>
  <c r="N177" i="24"/>
  <c r="C174" i="6" s="1"/>
  <c r="N178" i="24"/>
  <c r="C175" i="6" s="1"/>
  <c r="N179" i="24"/>
  <c r="C176" i="6" s="1"/>
  <c r="N180" i="24"/>
  <c r="C177" i="6" s="1"/>
  <c r="N181" i="24"/>
  <c r="C178" i="6" s="1"/>
  <c r="N182" i="24"/>
  <c r="C179" i="6" s="1"/>
  <c r="N183" i="24"/>
  <c r="C180" i="6" s="1"/>
  <c r="N184" i="24"/>
  <c r="C181" i="6" s="1"/>
  <c r="N185" i="24"/>
  <c r="C182" i="6" s="1"/>
  <c r="N186" i="24"/>
  <c r="C183" i="6" s="1"/>
  <c r="N187" i="24"/>
  <c r="C184" i="6" s="1"/>
  <c r="N188" i="24"/>
  <c r="C185" i="6" s="1"/>
  <c r="N189" i="24"/>
  <c r="C186" i="6" s="1"/>
  <c r="N190" i="24"/>
  <c r="C187" i="6" s="1"/>
  <c r="N191" i="24"/>
  <c r="C188" i="6" s="1"/>
  <c r="N192" i="24"/>
  <c r="C189" i="6" s="1"/>
  <c r="N193" i="24"/>
  <c r="C190" i="6" s="1"/>
  <c r="N194" i="24"/>
  <c r="C191" i="6" s="1"/>
  <c r="N195" i="24"/>
  <c r="C192" i="6" s="1"/>
  <c r="N196" i="24"/>
  <c r="C193" i="6" s="1"/>
  <c r="N197" i="24"/>
  <c r="C194" i="6" s="1"/>
  <c r="N198" i="24"/>
  <c r="C195" i="6" s="1"/>
  <c r="N199" i="24"/>
  <c r="C196" i="6" s="1"/>
  <c r="N200" i="24"/>
  <c r="C197" i="6" s="1"/>
  <c r="N201" i="24"/>
  <c r="C198" i="6" s="1"/>
  <c r="N202" i="24"/>
  <c r="C199" i="6" s="1"/>
  <c r="N203" i="24"/>
  <c r="C200" i="6" s="1"/>
  <c r="N204" i="24"/>
  <c r="C201" i="6" s="1"/>
  <c r="N205" i="24"/>
  <c r="C202" i="6" s="1"/>
  <c r="N206" i="24"/>
  <c r="C203" i="6" s="1"/>
  <c r="N207" i="24"/>
  <c r="C204" i="6" s="1"/>
  <c r="N208" i="24"/>
  <c r="C205" i="6" s="1"/>
  <c r="N209" i="24"/>
  <c r="C206" i="6" s="1"/>
  <c r="N210" i="24"/>
  <c r="C207" i="6" s="1"/>
  <c r="N211" i="24"/>
  <c r="C208" i="6" s="1"/>
  <c r="N212" i="24"/>
  <c r="C209" i="6" s="1"/>
  <c r="N213" i="24"/>
  <c r="C210" i="6" s="1"/>
  <c r="N214" i="24"/>
  <c r="C211" i="6" s="1"/>
  <c r="N215" i="24"/>
  <c r="C212" i="6" s="1"/>
  <c r="N216" i="24"/>
  <c r="C213" i="6" s="1"/>
  <c r="N217" i="24"/>
  <c r="C214" i="6" s="1"/>
  <c r="N218" i="24"/>
  <c r="C215" i="6" s="1"/>
  <c r="N219" i="24"/>
  <c r="C216" i="6" s="1"/>
  <c r="N220" i="24"/>
  <c r="C217" i="6" s="1"/>
  <c r="N221" i="24"/>
  <c r="C218" i="6" s="1"/>
  <c r="N222" i="24"/>
  <c r="C219" i="6" s="1"/>
  <c r="N223" i="24"/>
  <c r="C220" i="6" s="1"/>
  <c r="N224" i="24"/>
  <c r="C221" i="6" s="1"/>
  <c r="N225" i="24"/>
  <c r="C222" i="6" s="1"/>
  <c r="N226" i="24"/>
  <c r="C223" i="6" s="1"/>
  <c r="N227" i="24"/>
  <c r="C224" i="6" s="1"/>
  <c r="N228" i="24"/>
  <c r="C225" i="6" s="1"/>
  <c r="N229" i="24"/>
  <c r="C226" i="6" s="1"/>
  <c r="N230" i="24"/>
  <c r="C227" i="6" s="1"/>
  <c r="N231" i="24"/>
  <c r="C228" i="6" s="1"/>
  <c r="N232" i="24"/>
  <c r="C229" i="6" s="1"/>
  <c r="N233" i="24"/>
  <c r="C230" i="6" s="1"/>
  <c r="N234" i="24"/>
  <c r="C231" i="6" s="1"/>
  <c r="N235" i="24"/>
  <c r="C232" i="6" s="1"/>
  <c r="N236" i="24"/>
  <c r="C233" i="6" s="1"/>
  <c r="N237" i="24"/>
  <c r="C234" i="6" s="1"/>
  <c r="N238" i="24"/>
  <c r="C235" i="6" s="1"/>
  <c r="N239" i="24"/>
  <c r="C236" i="6" s="1"/>
  <c r="N240" i="24"/>
  <c r="C237" i="6" s="1"/>
  <c r="N241" i="24"/>
  <c r="C238" i="6" s="1"/>
  <c r="N242" i="24"/>
  <c r="C239" i="6" s="1"/>
  <c r="N243" i="24"/>
  <c r="C240" i="6" s="1"/>
  <c r="N244" i="24"/>
  <c r="C241" i="6" s="1"/>
  <c r="N245" i="24"/>
  <c r="C242" i="6" s="1"/>
  <c r="N246" i="24"/>
  <c r="C243" i="6" s="1"/>
  <c r="N247" i="24"/>
  <c r="C244" i="6" s="1"/>
  <c r="N248" i="24"/>
  <c r="C245" i="6" s="1"/>
  <c r="N249" i="24"/>
  <c r="C246" i="6" s="1"/>
  <c r="N250" i="24"/>
  <c r="C247" i="6" s="1"/>
  <c r="N251" i="24"/>
  <c r="C248" i="6" s="1"/>
  <c r="N252" i="24"/>
  <c r="C249" i="6" s="1"/>
  <c r="N253" i="24"/>
  <c r="C250" i="6" s="1"/>
  <c r="N254" i="24"/>
  <c r="C251" i="6" s="1"/>
  <c r="N255" i="24"/>
  <c r="C252" i="6" s="1"/>
  <c r="N256" i="24"/>
  <c r="C253" i="6" s="1"/>
  <c r="N257" i="24"/>
  <c r="C254" i="6" s="1"/>
  <c r="N258" i="24"/>
  <c r="C255" i="6" s="1"/>
  <c r="N259" i="24"/>
  <c r="C256" i="6" s="1"/>
  <c r="N260" i="24"/>
  <c r="C257" i="6" s="1"/>
  <c r="N261" i="24"/>
  <c r="C258" i="6" s="1"/>
  <c r="N262" i="24"/>
  <c r="C259" i="6" s="1"/>
  <c r="N263" i="24"/>
  <c r="C260" i="6" s="1"/>
  <c r="N264" i="24"/>
  <c r="C261" i="6" s="1"/>
  <c r="N265" i="24"/>
  <c r="C262" i="6" s="1"/>
  <c r="N266" i="24"/>
  <c r="C263" i="6" s="1"/>
  <c r="N267" i="24"/>
  <c r="C264" i="6" s="1"/>
  <c r="N268" i="24"/>
  <c r="C265" i="6" s="1"/>
  <c r="N269" i="24"/>
  <c r="C266" i="6" s="1"/>
  <c r="N270" i="24"/>
  <c r="C267" i="6" s="1"/>
  <c r="N271" i="24"/>
  <c r="C268" i="6" s="1"/>
  <c r="N272" i="24"/>
  <c r="C269" i="6" s="1"/>
  <c r="N273" i="24"/>
  <c r="C270" i="6" s="1"/>
  <c r="N274" i="24"/>
  <c r="C271" i="6" s="1"/>
  <c r="N275" i="24"/>
  <c r="C272" i="6" s="1"/>
  <c r="N276" i="24"/>
  <c r="C273" i="6" s="1"/>
  <c r="N277" i="24"/>
  <c r="C274" i="6" s="1"/>
  <c r="N278" i="24"/>
  <c r="C275" i="6" s="1"/>
  <c r="N279" i="24"/>
  <c r="C276" i="6" s="1"/>
  <c r="N280" i="24"/>
  <c r="C277" i="6" s="1"/>
  <c r="N281" i="24"/>
  <c r="C278" i="6" s="1"/>
  <c r="N282" i="24"/>
  <c r="C279" i="6" s="1"/>
  <c r="N283" i="24"/>
  <c r="C280" i="6" s="1"/>
  <c r="N284" i="24"/>
  <c r="C281" i="6" s="1"/>
  <c r="N285" i="24"/>
  <c r="C282" i="6" s="1"/>
  <c r="N286" i="24"/>
  <c r="C283" i="6" s="1"/>
  <c r="N287" i="24"/>
  <c r="C284" i="6" s="1"/>
  <c r="N288" i="24"/>
  <c r="C285" i="6" s="1"/>
  <c r="N289" i="24"/>
  <c r="C286" i="6" s="1"/>
  <c r="N290" i="24"/>
  <c r="C287" i="6"/>
  <c r="N291" i="24"/>
  <c r="C288" i="6"/>
  <c r="N292" i="24"/>
  <c r="C289" i="6"/>
  <c r="N293" i="24"/>
  <c r="C290" i="6"/>
  <c r="N294" i="24"/>
  <c r="C291" i="6"/>
  <c r="N295" i="24"/>
  <c r="C292" i="6"/>
  <c r="N296" i="24"/>
  <c r="C293" i="6"/>
  <c r="N297" i="24"/>
  <c r="C294" i="6"/>
  <c r="N298" i="24"/>
  <c r="C295" i="6"/>
  <c r="N299" i="24"/>
  <c r="C296" i="6"/>
  <c r="N300" i="24"/>
  <c r="C297" i="6"/>
  <c r="N301" i="24"/>
  <c r="C298" i="6"/>
  <c r="N302" i="24"/>
  <c r="C299" i="6"/>
  <c r="N303" i="24"/>
  <c r="C300" i="6"/>
  <c r="N304" i="24"/>
  <c r="C301" i="6"/>
  <c r="N305" i="24"/>
  <c r="C302" i="6"/>
  <c r="N306" i="24"/>
  <c r="C303" i="6"/>
  <c r="N307" i="24"/>
  <c r="C304" i="6"/>
  <c r="N308" i="24"/>
  <c r="C305" i="6" s="1"/>
  <c r="N309" i="24"/>
  <c r="C306" i="6"/>
  <c r="N310" i="24"/>
  <c r="C307" i="6" s="1"/>
  <c r="N311" i="24"/>
  <c r="C308" i="6" s="1"/>
  <c r="N312" i="24"/>
  <c r="C309" i="6" s="1"/>
  <c r="N313" i="24"/>
  <c r="C310" i="6" s="1"/>
  <c r="N314" i="24"/>
  <c r="C311" i="6" s="1"/>
  <c r="N315" i="24"/>
  <c r="C312" i="6" s="1"/>
  <c r="N316" i="24"/>
  <c r="C313" i="6" s="1"/>
  <c r="N317" i="24"/>
  <c r="C314" i="6" s="1"/>
  <c r="N318" i="24"/>
  <c r="C315" i="6" s="1"/>
  <c r="N319" i="24"/>
  <c r="C316" i="6" s="1"/>
  <c r="N320" i="24"/>
  <c r="C317" i="6" s="1"/>
  <c r="N321" i="24"/>
  <c r="C318" i="6" s="1"/>
  <c r="N322" i="24"/>
  <c r="C319" i="6" s="1"/>
  <c r="N323" i="24"/>
  <c r="C320" i="6" s="1"/>
  <c r="N324" i="24"/>
  <c r="C321" i="6" s="1"/>
  <c r="N325" i="24"/>
  <c r="C322" i="6" s="1"/>
  <c r="N326" i="24"/>
  <c r="C323" i="6" s="1"/>
  <c r="N327" i="24"/>
  <c r="C324" i="6" s="1"/>
  <c r="N328" i="24"/>
  <c r="C325" i="6" s="1"/>
  <c r="N329" i="24"/>
  <c r="C326" i="6" s="1"/>
  <c r="N330" i="24"/>
  <c r="C327" i="6" s="1"/>
  <c r="N331" i="24"/>
  <c r="C328" i="6" s="1"/>
  <c r="N332" i="24"/>
  <c r="C329" i="6" s="1"/>
  <c r="N333" i="24"/>
  <c r="C330" i="6" s="1"/>
  <c r="N334" i="24"/>
  <c r="C331" i="6" s="1"/>
  <c r="N335" i="24"/>
  <c r="C332" i="6" s="1"/>
  <c r="N336" i="24"/>
  <c r="C333" i="6" s="1"/>
  <c r="N337" i="24"/>
  <c r="C334" i="6" s="1"/>
  <c r="N338" i="24"/>
  <c r="C335" i="6" s="1"/>
  <c r="N339" i="24"/>
  <c r="C336" i="6" s="1"/>
  <c r="N340" i="24"/>
  <c r="C337" i="6" s="1"/>
  <c r="N341" i="24"/>
  <c r="C338" i="6" s="1"/>
  <c r="N342" i="24"/>
  <c r="C339" i="6" s="1"/>
  <c r="N343" i="24"/>
  <c r="C340" i="6" s="1"/>
  <c r="N344" i="24"/>
  <c r="C341" i="6" s="1"/>
  <c r="N345" i="24"/>
  <c r="C342" i="6" s="1"/>
  <c r="N346" i="24"/>
  <c r="C343" i="6" s="1"/>
  <c r="N347" i="24"/>
  <c r="C344" i="6" s="1"/>
  <c r="N348" i="24"/>
  <c r="C345" i="6" s="1"/>
  <c r="N349" i="24"/>
  <c r="C346" i="6" s="1"/>
  <c r="N350" i="24"/>
  <c r="C347" i="6" s="1"/>
  <c r="N351" i="24"/>
  <c r="C348" i="6" s="1"/>
  <c r="N352" i="24"/>
  <c r="C349" i="6" s="1"/>
  <c r="N353" i="24"/>
  <c r="C350" i="6" s="1"/>
  <c r="N354" i="24"/>
  <c r="C351" i="6" s="1"/>
  <c r="N355" i="24"/>
  <c r="C352" i="6" s="1"/>
  <c r="N356" i="24"/>
  <c r="C353" i="6" s="1"/>
  <c r="N357" i="24"/>
  <c r="C354" i="6" s="1"/>
  <c r="N358" i="24"/>
  <c r="C355" i="6" s="1"/>
  <c r="N359" i="24"/>
  <c r="C356" i="6" s="1"/>
  <c r="N360" i="24"/>
  <c r="C357" i="6" s="1"/>
  <c r="N361" i="24"/>
  <c r="C358" i="6" s="1"/>
  <c r="N362" i="24"/>
  <c r="C359" i="6" s="1"/>
  <c r="N363" i="24"/>
  <c r="C360" i="6" s="1"/>
  <c r="N364" i="24"/>
  <c r="C361" i="6" s="1"/>
  <c r="N365" i="24"/>
  <c r="C362" i="6" s="1"/>
  <c r="N366" i="24"/>
  <c r="C363" i="6" s="1"/>
  <c r="N367" i="24"/>
  <c r="C364" i="6" s="1"/>
  <c r="N368" i="24"/>
  <c r="C365" i="6" s="1"/>
  <c r="N369" i="24"/>
  <c r="C366" i="6" s="1"/>
  <c r="N370" i="24"/>
  <c r="C367" i="6" s="1"/>
  <c r="N371" i="24"/>
  <c r="C368" i="6" s="1"/>
  <c r="N372" i="24"/>
  <c r="C369" i="6" s="1"/>
  <c r="N373" i="24"/>
  <c r="C370" i="6" s="1"/>
  <c r="N374" i="24"/>
  <c r="C371" i="6" s="1"/>
  <c r="N375" i="24"/>
  <c r="C372" i="6" s="1"/>
  <c r="N376" i="24"/>
  <c r="C373" i="6" s="1"/>
  <c r="N377" i="24"/>
  <c r="C374" i="6" s="1"/>
  <c r="N378" i="24"/>
  <c r="C375" i="6" s="1"/>
  <c r="N379" i="24"/>
  <c r="C376" i="6" s="1"/>
  <c r="N380" i="24"/>
  <c r="C377" i="6" s="1"/>
  <c r="N381" i="24"/>
  <c r="C378" i="6" s="1"/>
  <c r="N382" i="24"/>
  <c r="C379" i="6" s="1"/>
  <c r="N383" i="24"/>
  <c r="C380" i="6" s="1"/>
  <c r="N384" i="24"/>
  <c r="C381" i="6" s="1"/>
  <c r="N385" i="24"/>
  <c r="C382" i="6" s="1"/>
  <c r="N386" i="24"/>
  <c r="C383" i="6" s="1"/>
  <c r="N387" i="24"/>
  <c r="C384" i="6" s="1"/>
  <c r="N388" i="24"/>
  <c r="C385" i="6" s="1"/>
  <c r="N389" i="24"/>
  <c r="C386" i="6" s="1"/>
  <c r="N390" i="24"/>
  <c r="C387" i="6" s="1"/>
  <c r="N391" i="24"/>
  <c r="C388" i="6" s="1"/>
  <c r="N392" i="24"/>
  <c r="C389" i="6" s="1"/>
  <c r="N393" i="24"/>
  <c r="C390" i="6" s="1"/>
  <c r="N394" i="24"/>
  <c r="C391" i="6" s="1"/>
  <c r="N395" i="24"/>
  <c r="C392" i="6" s="1"/>
  <c r="N396" i="24"/>
  <c r="C393" i="6" s="1"/>
  <c r="N397" i="24"/>
  <c r="C394" i="6" s="1"/>
  <c r="N398" i="24"/>
  <c r="C395" i="6" s="1"/>
  <c r="N399" i="24"/>
  <c r="C396" i="6" s="1"/>
  <c r="N400" i="24"/>
  <c r="C397" i="6" s="1"/>
  <c r="N401" i="24"/>
  <c r="C398" i="6" s="1"/>
  <c r="N402" i="24"/>
  <c r="C399" i="6" s="1"/>
  <c r="N403" i="24"/>
  <c r="C400" i="6" s="1"/>
  <c r="N404" i="24"/>
  <c r="C401" i="6" s="1"/>
  <c r="N405" i="24"/>
  <c r="C402" i="6" s="1"/>
  <c r="N406" i="24"/>
  <c r="C403" i="6" s="1"/>
  <c r="N407" i="24"/>
  <c r="C404" i="6" s="1"/>
  <c r="N408" i="24"/>
  <c r="C405" i="6" s="1"/>
  <c r="N409" i="24"/>
  <c r="C406" i="6" s="1"/>
  <c r="N410" i="24"/>
  <c r="C407" i="6" s="1"/>
  <c r="N411" i="24"/>
  <c r="C408" i="6" s="1"/>
  <c r="N412" i="24"/>
  <c r="C409" i="6" s="1"/>
  <c r="N413" i="24"/>
  <c r="C410" i="6" s="1"/>
  <c r="N414" i="24"/>
  <c r="C411" i="6" s="1"/>
  <c r="N415" i="24"/>
  <c r="C412" i="6" s="1"/>
  <c r="N416" i="24"/>
  <c r="C413" i="6" s="1"/>
  <c r="N417" i="24"/>
  <c r="C414" i="6" s="1"/>
  <c r="N418" i="24"/>
  <c r="C415" i="6" s="1"/>
  <c r="N419" i="24"/>
  <c r="C416" i="6" s="1"/>
  <c r="N420" i="24"/>
  <c r="C417" i="6" s="1"/>
  <c r="N421" i="24"/>
  <c r="C418" i="6" s="1"/>
  <c r="N422" i="24"/>
  <c r="C419" i="6" s="1"/>
  <c r="N423" i="24"/>
  <c r="C420" i="6" s="1"/>
  <c r="N424" i="24"/>
  <c r="C421" i="6" s="1"/>
  <c r="N425" i="24"/>
  <c r="C422" i="6" s="1"/>
  <c r="N426" i="24"/>
  <c r="C423" i="6" s="1"/>
  <c r="N427" i="24"/>
  <c r="C424" i="6" s="1"/>
  <c r="N428" i="24"/>
  <c r="C425" i="6" s="1"/>
  <c r="N429" i="24"/>
  <c r="C426" i="6" s="1"/>
  <c r="N430" i="24"/>
  <c r="C427" i="6" s="1"/>
  <c r="N431" i="24"/>
  <c r="C428" i="6" s="1"/>
  <c r="N432" i="24"/>
  <c r="C429" i="6" s="1"/>
  <c r="N433" i="24"/>
  <c r="C430" i="6" s="1"/>
  <c r="N434" i="24"/>
  <c r="C431" i="6" s="1"/>
  <c r="N435" i="24"/>
  <c r="C432" i="6" s="1"/>
  <c r="N436" i="24"/>
  <c r="C433" i="6" s="1"/>
  <c r="N437" i="24"/>
  <c r="C434" i="6" s="1"/>
  <c r="N438" i="24"/>
  <c r="C435" i="6" s="1"/>
  <c r="N439" i="24"/>
  <c r="C436" i="6" s="1"/>
  <c r="N440" i="24"/>
  <c r="C437" i="6" s="1"/>
  <c r="N441" i="24"/>
  <c r="C438" i="6" s="1"/>
  <c r="N442" i="24"/>
  <c r="C439" i="6" s="1"/>
  <c r="N443" i="24"/>
  <c r="C440" i="6" s="1"/>
  <c r="N444" i="24"/>
  <c r="C441" i="6" s="1"/>
  <c r="N445" i="24"/>
  <c r="C442" i="6" s="1"/>
  <c r="N446" i="24"/>
  <c r="C443" i="6" s="1"/>
  <c r="N447" i="24"/>
  <c r="C444" i="6" s="1"/>
  <c r="N448" i="24"/>
  <c r="C445" i="6" s="1"/>
  <c r="N449" i="24"/>
  <c r="C446" i="6" s="1"/>
  <c r="N450" i="24"/>
  <c r="C447" i="6" s="1"/>
  <c r="N451" i="24"/>
  <c r="C448" i="6" s="1"/>
  <c r="N452" i="24"/>
  <c r="C449" i="6" s="1"/>
  <c r="N453" i="24"/>
  <c r="C450" i="6" s="1"/>
  <c r="N454" i="24"/>
  <c r="C451" i="6" s="1"/>
  <c r="N455" i="24"/>
  <c r="C452" i="6" s="1"/>
  <c r="N456" i="24"/>
  <c r="C453" i="6" s="1"/>
  <c r="N457" i="24"/>
  <c r="C454" i="6" s="1"/>
  <c r="N458" i="24"/>
  <c r="C455" i="6" s="1"/>
  <c r="N459" i="24"/>
  <c r="C456" i="6" s="1"/>
  <c r="N460" i="24"/>
  <c r="C457" i="6" s="1"/>
  <c r="N461" i="24"/>
  <c r="C458" i="6" s="1"/>
  <c r="N462" i="24"/>
  <c r="C459" i="6" s="1"/>
  <c r="N463" i="24"/>
  <c r="C460" i="6" s="1"/>
  <c r="N464" i="24"/>
  <c r="C461" i="6" s="1"/>
  <c r="N465" i="24"/>
  <c r="C462" i="6" s="1"/>
  <c r="N466" i="24"/>
  <c r="C463" i="6" s="1"/>
  <c r="N467" i="24"/>
  <c r="C464" i="6" s="1"/>
  <c r="N469" i="24"/>
  <c r="C466" i="6" s="1"/>
  <c r="N470" i="24"/>
  <c r="C467" i="6" s="1"/>
  <c r="N471" i="24"/>
  <c r="C468" i="6" s="1"/>
  <c r="N472" i="24"/>
  <c r="N473" i="24"/>
  <c r="C470" i="6" s="1"/>
  <c r="N474" i="24"/>
  <c r="C471" i="6" s="1"/>
  <c r="N475" i="24"/>
  <c r="C472" i="6" s="1"/>
  <c r="N476" i="24"/>
  <c r="C473" i="6" s="1"/>
  <c r="N477" i="24"/>
  <c r="C474" i="6" s="1"/>
  <c r="N478" i="24"/>
  <c r="C475" i="6" s="1"/>
  <c r="N479" i="24"/>
  <c r="C476" i="6" s="1"/>
  <c r="N480" i="24"/>
  <c r="C477" i="6" s="1"/>
  <c r="N481" i="24"/>
  <c r="C478" i="6" s="1"/>
  <c r="N482" i="24"/>
  <c r="C479" i="6" s="1"/>
  <c r="N483" i="24"/>
  <c r="C480" i="6" s="1"/>
  <c r="N484" i="24"/>
  <c r="C481" i="6" s="1"/>
  <c r="N485" i="24"/>
  <c r="C482" i="6" s="1"/>
  <c r="N486" i="24"/>
  <c r="C483" i="6" s="1"/>
  <c r="N487" i="24"/>
  <c r="C484" i="6" s="1"/>
  <c r="N488" i="24"/>
  <c r="C485" i="6" s="1"/>
  <c r="N489" i="24"/>
  <c r="C486" i="6" s="1"/>
  <c r="N490" i="24"/>
  <c r="C487" i="6" s="1"/>
  <c r="N491" i="24"/>
  <c r="C488" i="6" s="1"/>
  <c r="N492" i="24"/>
  <c r="C489" i="6" s="1"/>
  <c r="N493" i="24"/>
  <c r="C490" i="6" s="1"/>
  <c r="N494" i="24"/>
  <c r="C491" i="6" s="1"/>
  <c r="N495" i="24"/>
  <c r="C492" i="6" s="1"/>
  <c r="N496" i="24"/>
  <c r="C493" i="6" s="1"/>
  <c r="N497" i="24"/>
  <c r="C494" i="6" s="1"/>
  <c r="N498" i="24"/>
  <c r="C495" i="6" s="1"/>
  <c r="N499" i="24"/>
  <c r="C496" i="6" s="1"/>
  <c r="N500" i="24"/>
  <c r="C497" i="6" s="1"/>
  <c r="N501" i="24"/>
  <c r="C498" i="6" s="1"/>
  <c r="N502" i="24"/>
  <c r="C499" i="6" s="1"/>
  <c r="N503" i="24"/>
  <c r="C500" i="6" s="1"/>
  <c r="N504" i="24"/>
  <c r="C501" i="6" s="1"/>
  <c r="N505" i="24"/>
  <c r="C502" i="6" s="1"/>
  <c r="N506" i="24"/>
  <c r="C503" i="6" s="1"/>
  <c r="N507" i="24"/>
  <c r="C504" i="6" s="1"/>
  <c r="N508" i="24"/>
  <c r="C505" i="6" s="1"/>
  <c r="N509" i="24"/>
  <c r="C506" i="6" s="1"/>
  <c r="N510" i="24"/>
  <c r="C507" i="6" s="1"/>
  <c r="N511" i="24"/>
  <c r="C508" i="6" s="1"/>
  <c r="N512" i="24"/>
  <c r="C509" i="6" s="1"/>
  <c r="N513" i="24"/>
  <c r="C510" i="6" s="1"/>
  <c r="N514" i="24"/>
  <c r="C511" i="6" s="1"/>
  <c r="N515" i="24"/>
  <c r="C512" i="6" s="1"/>
  <c r="N516" i="24"/>
  <c r="C513" i="6" s="1"/>
  <c r="N517" i="24"/>
  <c r="C514" i="6" s="1"/>
  <c r="N518" i="24"/>
  <c r="C515" i="6" s="1"/>
  <c r="N519" i="24"/>
  <c r="C516" i="6" s="1"/>
  <c r="N520" i="24"/>
  <c r="C517" i="6" s="1"/>
  <c r="N521" i="24"/>
  <c r="C518" i="6" s="1"/>
  <c r="N522" i="24"/>
  <c r="C519" i="6" s="1"/>
  <c r="N523" i="24"/>
  <c r="C520" i="6" s="1"/>
  <c r="N524" i="24"/>
  <c r="C521" i="6" s="1"/>
  <c r="N525" i="24"/>
  <c r="C522" i="6" s="1"/>
  <c r="N526" i="24"/>
  <c r="C523" i="6" s="1"/>
  <c r="N527" i="24"/>
  <c r="C524" i="6" s="1"/>
  <c r="N528" i="24"/>
  <c r="C525" i="6" s="1"/>
  <c r="N529" i="24"/>
  <c r="C526" i="6" s="1"/>
  <c r="N530" i="24"/>
  <c r="C527" i="6" s="1"/>
  <c r="N531" i="24"/>
  <c r="C528" i="6" s="1"/>
  <c r="N532" i="24"/>
  <c r="C529" i="6" s="1"/>
  <c r="N533" i="24"/>
  <c r="C530" i="6" s="1"/>
  <c r="N534" i="24"/>
  <c r="C531" i="6" s="1"/>
  <c r="N535" i="24"/>
  <c r="C532" i="6" s="1"/>
  <c r="N536" i="24"/>
  <c r="C533" i="6" s="1"/>
  <c r="N537" i="24"/>
  <c r="C534" i="6" s="1"/>
  <c r="N538" i="24"/>
  <c r="C535" i="6" s="1"/>
  <c r="N539" i="24"/>
  <c r="C536" i="6" s="1"/>
  <c r="N540" i="24"/>
  <c r="C537" i="6" s="1"/>
  <c r="N541" i="24"/>
  <c r="C538" i="6" s="1"/>
  <c r="N542" i="24"/>
  <c r="C539" i="6" s="1"/>
  <c r="N543" i="24"/>
  <c r="C540" i="6" s="1"/>
  <c r="N544" i="24"/>
  <c r="C541" i="6" s="1"/>
  <c r="N545" i="24"/>
  <c r="C542" i="6" s="1"/>
  <c r="N546" i="24"/>
  <c r="C543" i="6" s="1"/>
  <c r="N547" i="24"/>
  <c r="C544" i="6" s="1"/>
  <c r="N548" i="24"/>
  <c r="C545" i="6" s="1"/>
  <c r="N549" i="24"/>
  <c r="C546" i="6" s="1"/>
  <c r="N550" i="24"/>
  <c r="C547" i="6" s="1"/>
  <c r="N551" i="24"/>
  <c r="C548" i="6" s="1"/>
  <c r="N552" i="24"/>
  <c r="C549" i="6" s="1"/>
  <c r="N553" i="24"/>
  <c r="C550" i="6" s="1"/>
  <c r="N554" i="24"/>
  <c r="C551" i="6" s="1"/>
  <c r="N555" i="24"/>
  <c r="C552" i="6" s="1"/>
  <c r="N556" i="24"/>
  <c r="C553" i="6" s="1"/>
  <c r="N557" i="24"/>
  <c r="C554" i="6" s="1"/>
  <c r="N558" i="24"/>
  <c r="C555" i="6" s="1"/>
  <c r="N559" i="24"/>
  <c r="C556" i="6" s="1"/>
  <c r="N560" i="24"/>
  <c r="C557" i="6" s="1"/>
  <c r="E10" i="28"/>
  <c r="D9" i="28"/>
  <c r="C8" i="28"/>
  <c r="E38" i="10"/>
  <c r="E39" i="10"/>
  <c r="E40" i="10"/>
  <c r="K174" i="10" s="1"/>
  <c r="E41" i="10"/>
  <c r="E42" i="10"/>
  <c r="E43" i="10"/>
  <c r="E44" i="10"/>
  <c r="E45" i="10"/>
  <c r="E46" i="10"/>
  <c r="E37" i="10"/>
  <c r="E21" i="10"/>
  <c r="E22" i="10"/>
  <c r="E23" i="10"/>
  <c r="E24" i="10"/>
  <c r="E25" i="10"/>
  <c r="E26" i="10"/>
  <c r="E27" i="10"/>
  <c r="E28" i="10"/>
  <c r="E29" i="10"/>
  <c r="E30" i="10"/>
  <c r="E32" i="10"/>
  <c r="E33" i="10"/>
  <c r="E34" i="10"/>
  <c r="K61" i="10" s="1"/>
  <c r="E20" i="10"/>
  <c r="K135" i="10" s="1"/>
  <c r="B19" i="20"/>
  <c r="B68" i="14"/>
  <c r="B7" i="17" s="1"/>
  <c r="B63" i="14"/>
  <c r="B11" i="57" s="1"/>
  <c r="N9" i="14"/>
  <c r="M11" i="14" s="1"/>
  <c r="O9" i="14"/>
  <c r="M9" i="14"/>
  <c r="B62" i="14"/>
  <c r="B61" i="14"/>
  <c r="N60" i="14" s="1"/>
  <c r="B60" i="14"/>
  <c r="M59" i="14" s="1"/>
  <c r="B59" i="14"/>
  <c r="L58" i="14" s="1"/>
  <c r="L57" i="14" s="1"/>
  <c r="L56" i="14" s="1"/>
  <c r="L55" i="14" s="1"/>
  <c r="L54" i="14" s="1"/>
  <c r="L53" i="14" s="1"/>
  <c r="L52" i="14" s="1"/>
  <c r="L51" i="14" s="1"/>
  <c r="L50" i="14" s="1"/>
  <c r="L49" i="14" s="1"/>
  <c r="I9" i="14"/>
  <c r="J9" i="14"/>
  <c r="K9" i="14"/>
  <c r="L9" i="14"/>
  <c r="H9" i="14"/>
  <c r="B58" i="14"/>
  <c r="K57" i="14" s="1"/>
  <c r="K56" i="14" s="1"/>
  <c r="B57" i="14"/>
  <c r="J56" i="14"/>
  <c r="B56" i="14"/>
  <c r="I55" i="14" s="1"/>
  <c r="B55" i="14"/>
  <c r="H54" i="14" s="1"/>
  <c r="B54" i="14"/>
  <c r="G53" i="14" s="1"/>
  <c r="B53" i="14"/>
  <c r="F52" i="14" s="1"/>
  <c r="F51" i="14" s="1"/>
  <c r="B52" i="14"/>
  <c r="E51" i="14"/>
  <c r="B51" i="14"/>
  <c r="D50" i="14"/>
  <c r="B50" i="14"/>
  <c r="C49" i="14" s="1"/>
  <c r="K88" i="10"/>
  <c r="K129" i="10"/>
  <c r="K70" i="10"/>
  <c r="K156" i="10"/>
  <c r="K151" i="10"/>
  <c r="K118" i="10"/>
  <c r="K128" i="10"/>
  <c r="K132" i="10"/>
  <c r="AK120" i="10"/>
  <c r="AL121" i="10"/>
  <c r="K62" i="10"/>
  <c r="K143" i="10"/>
  <c r="K69" i="10"/>
  <c r="K107" i="10"/>
  <c r="K175" i="10"/>
  <c r="K161" i="10"/>
  <c r="K157" i="10"/>
  <c r="K103" i="10"/>
  <c r="K163" i="10"/>
  <c r="K74" i="10"/>
  <c r="K120" i="10"/>
  <c r="AJ109" i="10"/>
  <c r="C469" i="6"/>
  <c r="D21" i="10"/>
  <c r="D26" i="10"/>
  <c r="C97" i="14"/>
  <c r="C101" i="14" s="1"/>
  <c r="C28" i="53" s="1"/>
  <c r="X60" i="10"/>
  <c r="Z60" i="10"/>
  <c r="AA60" i="10"/>
  <c r="AF60" i="10"/>
  <c r="P62" i="14"/>
  <c r="B9" i="28"/>
  <c r="K60" i="10"/>
  <c r="D10" i="10"/>
  <c r="AQ103" i="10"/>
  <c r="D15" i="7"/>
  <c r="D14" i="7"/>
  <c r="G14" i="7"/>
  <c r="B26" i="21" s="1"/>
  <c r="P22" i="26"/>
  <c r="B27" i="26"/>
  <c r="F20" i="18" s="1"/>
  <c r="O22" i="26"/>
  <c r="B26" i="26" s="1"/>
  <c r="C20" i="18" s="1"/>
  <c r="N22" i="26"/>
  <c r="B25" i="26" s="1"/>
  <c r="B20" i="18" s="1"/>
  <c r="G77" i="5"/>
  <c r="G78" i="5"/>
  <c r="G12" i="7"/>
  <c r="B19" i="21" s="1"/>
  <c r="G11" i="7"/>
  <c r="G52" i="5"/>
  <c r="G31" i="5"/>
  <c r="G56" i="5"/>
  <c r="G60" i="5"/>
  <c r="G8" i="5"/>
  <c r="G66" i="5"/>
  <c r="G46" i="5"/>
  <c r="G67" i="5"/>
  <c r="G20" i="5"/>
  <c r="G75" i="5"/>
  <c r="G74" i="5"/>
  <c r="G12" i="5"/>
  <c r="G21" i="5"/>
  <c r="G59" i="5"/>
  <c r="G18" i="5"/>
  <c r="G63" i="5"/>
  <c r="G19" i="5"/>
  <c r="G9" i="5"/>
  <c r="G13" i="5"/>
  <c r="G57" i="5"/>
  <c r="G73" i="5"/>
  <c r="G11" i="5"/>
  <c r="G71" i="5"/>
  <c r="G58" i="5"/>
  <c r="G16" i="5"/>
  <c r="G62" i="5"/>
  <c r="G70" i="5"/>
  <c r="G25" i="5"/>
  <c r="G64" i="5"/>
  <c r="G55" i="5"/>
  <c r="G61" i="5"/>
  <c r="G53" i="5"/>
  <c r="G44" i="5"/>
  <c r="G14" i="5"/>
  <c r="G28" i="5"/>
  <c r="G41" i="5"/>
  <c r="G27" i="5"/>
  <c r="G37" i="5"/>
  <c r="G65" i="5"/>
  <c r="G22" i="5"/>
  <c r="G50" i="5"/>
  <c r="G33" i="5"/>
  <c r="G39" i="5"/>
  <c r="G76" i="5"/>
  <c r="G68" i="5"/>
  <c r="G32" i="5"/>
  <c r="G17" i="5"/>
  <c r="G23" i="5"/>
  <c r="G49" i="5"/>
  <c r="G24" i="5"/>
  <c r="G47" i="5"/>
  <c r="G48" i="5"/>
  <c r="G36" i="5"/>
  <c r="G26" i="5"/>
  <c r="G10" i="5"/>
  <c r="G72" i="5"/>
  <c r="G30" i="5"/>
  <c r="G34" i="5"/>
  <c r="G40" i="5"/>
  <c r="G35" i="5"/>
  <c r="G42" i="5"/>
  <c r="G69" i="5"/>
  <c r="G43" i="5"/>
  <c r="G29" i="5"/>
  <c r="G51" i="5"/>
  <c r="G54" i="5"/>
  <c r="G38" i="5"/>
  <c r="G45" i="5"/>
  <c r="G15" i="5"/>
  <c r="B18" i="21"/>
  <c r="N10" i="5"/>
  <c r="N77" i="5"/>
  <c r="N78" i="5"/>
  <c r="L393" i="6"/>
  <c r="L472" i="6"/>
  <c r="L21" i="6"/>
  <c r="L474" i="6"/>
  <c r="L153" i="6"/>
  <c r="L484" i="6"/>
  <c r="L290" i="6"/>
  <c r="L25" i="6"/>
  <c r="L545" i="6"/>
  <c r="L80" i="6"/>
  <c r="L480" i="6"/>
  <c r="L28" i="6"/>
  <c r="L547" i="6"/>
  <c r="L184" i="6"/>
  <c r="L470" i="6"/>
  <c r="L17" i="6"/>
  <c r="L70" i="6"/>
  <c r="L439" i="6"/>
  <c r="L226" i="6"/>
  <c r="L127" i="6"/>
  <c r="L456" i="6"/>
  <c r="L528" i="6"/>
  <c r="L256" i="6"/>
  <c r="L313" i="6"/>
  <c r="L131" i="6"/>
  <c r="L345" i="6"/>
  <c r="L519" i="6"/>
  <c r="L138" i="6"/>
  <c r="L224" i="6"/>
  <c r="L328" i="6"/>
  <c r="L498" i="6"/>
  <c r="L378" i="6"/>
  <c r="L103" i="6"/>
  <c r="L206" i="6"/>
  <c r="L344" i="6"/>
  <c r="L397" i="6"/>
  <c r="L38" i="6"/>
  <c r="L354" i="6"/>
  <c r="L169" i="6"/>
  <c r="L62" i="6"/>
  <c r="L51" i="6"/>
  <c r="L44" i="6"/>
  <c r="L73" i="6"/>
  <c r="L161" i="6"/>
  <c r="L513" i="6"/>
  <c r="L130" i="6"/>
  <c r="L202" i="6"/>
  <c r="L164" i="6"/>
  <c r="L273" i="6"/>
  <c r="L265" i="6"/>
  <c r="L347" i="6"/>
  <c r="L381" i="6"/>
  <c r="L200" i="6"/>
  <c r="L122" i="6"/>
  <c r="L350" i="6"/>
  <c r="L454" i="6"/>
  <c r="L385" i="6"/>
  <c r="L272" i="6"/>
  <c r="L269" i="6"/>
  <c r="L203" i="6"/>
  <c r="L93" i="6"/>
  <c r="L81" i="6"/>
  <c r="L231" i="6"/>
  <c r="L443" i="6"/>
  <c r="L34" i="6"/>
  <c r="L312" i="6"/>
  <c r="L371" i="6"/>
  <c r="L53" i="6"/>
  <c r="L551" i="6"/>
  <c r="L105" i="6"/>
  <c r="L104" i="6"/>
  <c r="L68" i="6"/>
  <c r="L79" i="6"/>
  <c r="L177" i="6"/>
  <c r="L293" i="6"/>
  <c r="L431" i="6"/>
  <c r="L503" i="6"/>
  <c r="L176" i="6"/>
  <c r="L258" i="6"/>
  <c r="L64" i="6"/>
  <c r="L368" i="6"/>
  <c r="L250" i="6"/>
  <c r="L394" i="6"/>
  <c r="L415" i="6"/>
  <c r="L238" i="6"/>
  <c r="L386" i="6"/>
  <c r="L526" i="6"/>
  <c r="L181" i="6"/>
  <c r="L198" i="6"/>
  <c r="L275" i="6"/>
  <c r="L531" i="6"/>
  <c r="L496" i="6"/>
  <c r="L199" i="6"/>
  <c r="L402" i="6"/>
  <c r="L530" i="6"/>
  <c r="L283" i="6"/>
  <c r="L205" i="6"/>
  <c r="L507" i="6"/>
  <c r="L262" i="6"/>
  <c r="L509" i="6"/>
  <c r="L190" i="6"/>
  <c r="L286" i="6"/>
  <c r="L123" i="6"/>
  <c r="L405" i="6"/>
  <c r="L306" i="6"/>
  <c r="L134" i="6"/>
  <c r="L39" i="6"/>
  <c r="L524" i="6"/>
  <c r="L99" i="6"/>
  <c r="L406" i="6"/>
  <c r="L322" i="6"/>
  <c r="L336" i="6"/>
  <c r="L351" i="6"/>
  <c r="L83" i="6"/>
  <c r="L117" i="6"/>
  <c r="L239" i="6"/>
  <c r="L333" i="6"/>
  <c r="L497" i="6"/>
  <c r="L529" i="6"/>
  <c r="L162" i="6"/>
  <c r="L308" i="6"/>
  <c r="L215" i="6"/>
  <c r="L411" i="6"/>
  <c r="L500" i="6"/>
  <c r="L201" i="6"/>
  <c r="L420" i="6"/>
  <c r="L241" i="6"/>
  <c r="L414" i="6"/>
  <c r="L219" i="6"/>
  <c r="L314" i="6"/>
  <c r="L319" i="6"/>
  <c r="L69" i="6"/>
  <c r="L110" i="6"/>
  <c r="L370" i="6"/>
  <c r="L330" i="6"/>
  <c r="L186" i="6"/>
  <c r="L395" i="6"/>
  <c r="L216" i="6"/>
  <c r="L398" i="6"/>
  <c r="L352" i="6"/>
  <c r="L118" i="6"/>
  <c r="L87" i="6"/>
  <c r="L307" i="6"/>
  <c r="L301" i="6"/>
  <c r="L116" i="6"/>
  <c r="L295" i="6"/>
  <c r="L556" i="6"/>
  <c r="L429" i="6"/>
  <c r="L91" i="6"/>
  <c r="L309" i="6"/>
  <c r="L108" i="6"/>
  <c r="L266" i="6"/>
  <c r="L36" i="6"/>
  <c r="L430" i="6"/>
  <c r="L178" i="6"/>
  <c r="L37" i="6"/>
  <c r="L61" i="6"/>
  <c r="L65" i="6"/>
  <c r="L196" i="6"/>
  <c r="L391" i="6"/>
  <c r="L552" i="6"/>
  <c r="L342" i="6"/>
  <c r="L421" i="6"/>
  <c r="L343" i="6"/>
  <c r="L324" i="6"/>
  <c r="L249" i="6"/>
  <c r="L136" i="6"/>
  <c r="L334" i="6"/>
  <c r="L50" i="6"/>
  <c r="L337" i="6"/>
  <c r="L240" i="6"/>
  <c r="L300" i="6"/>
  <c r="L376" i="6"/>
  <c r="L279" i="6"/>
  <c r="L151" i="6"/>
  <c r="L146" i="6"/>
  <c r="L557" i="6"/>
  <c r="L403" i="6"/>
  <c r="L111" i="6"/>
  <c r="L323" i="6"/>
  <c r="L511" i="6"/>
  <c r="L124" i="6"/>
  <c r="L160" i="6"/>
  <c r="L382" i="6"/>
  <c r="L27" i="6"/>
  <c r="L179" i="6"/>
  <c r="L59" i="6"/>
  <c r="L510" i="6"/>
  <c r="L419" i="6"/>
  <c r="L188" i="6"/>
  <c r="L281" i="6"/>
  <c r="L67" i="6"/>
  <c r="L416" i="6"/>
  <c r="L284" i="6"/>
  <c r="L52" i="6"/>
  <c r="L114" i="6"/>
  <c r="L207" i="6"/>
  <c r="L373" i="6"/>
  <c r="L372" i="6"/>
  <c r="L535" i="6"/>
  <c r="L85" i="6"/>
  <c r="L195" i="6"/>
  <c r="L297" i="6"/>
  <c r="L435" i="6"/>
  <c r="L96" i="6"/>
  <c r="L182" i="6"/>
  <c r="L338" i="6"/>
  <c r="L502" i="6"/>
  <c r="L384" i="6"/>
  <c r="L294" i="6"/>
  <c r="L9" i="6"/>
  <c r="L417" i="6"/>
  <c r="L274" i="6"/>
  <c r="L377" i="6"/>
  <c r="L192" i="6"/>
  <c r="L254" i="6"/>
  <c r="L396" i="6"/>
  <c r="L212" i="6"/>
  <c r="L237" i="6"/>
  <c r="L40" i="6"/>
  <c r="L106" i="6"/>
  <c r="L408" i="6"/>
  <c r="L92" i="6"/>
  <c r="L12" i="6"/>
  <c r="L409" i="6"/>
  <c r="L100" i="6"/>
  <c r="L425" i="6"/>
  <c r="L388" i="6"/>
  <c r="L95" i="6"/>
  <c r="L522" i="6"/>
  <c r="L428" i="6"/>
  <c r="L468" i="6"/>
  <c r="L189" i="6"/>
  <c r="L74" i="6"/>
  <c r="L379" i="6"/>
  <c r="L523" i="6"/>
  <c r="L230" i="6"/>
  <c r="L135" i="6"/>
  <c r="L133" i="6"/>
  <c r="L375" i="6"/>
  <c r="L356" i="6"/>
  <c r="L228" i="6"/>
  <c r="L168" i="6"/>
  <c r="L140" i="6"/>
  <c r="L149" i="6"/>
  <c r="L383" i="6"/>
  <c r="L525" i="6"/>
  <c r="L514" i="6"/>
  <c r="L413" i="6"/>
  <c r="L268" i="6"/>
  <c r="L433" i="6"/>
  <c r="L488" i="6"/>
  <c r="L47" i="6"/>
  <c r="L555" i="6"/>
  <c r="L48" i="6"/>
  <c r="L434" i="6"/>
  <c r="L534" i="6"/>
  <c r="L45" i="6"/>
  <c r="L63" i="6"/>
  <c r="L335" i="6"/>
  <c r="L204" i="6"/>
  <c r="L389" i="6"/>
  <c r="L29" i="6"/>
  <c r="L242" i="6"/>
  <c r="L125" i="6"/>
  <c r="L517" i="6"/>
  <c r="L494" i="6"/>
  <c r="L305" i="6"/>
  <c r="L197" i="6"/>
  <c r="L112" i="6"/>
  <c r="L292" i="6"/>
  <c r="L31" i="6"/>
  <c r="L113" i="6"/>
  <c r="L163" i="6"/>
  <c r="L318" i="6"/>
  <c r="L143" i="6"/>
  <c r="L321" i="6"/>
  <c r="L427" i="6"/>
  <c r="L367" i="6"/>
  <c r="L102" i="6"/>
  <c r="L32" i="6"/>
  <c r="L132" i="6"/>
  <c r="L499" i="6"/>
  <c r="L56" i="6"/>
  <c r="L148" i="6"/>
  <c r="L171" i="6"/>
  <c r="L94" i="6"/>
  <c r="L325" i="6"/>
  <c r="L299" i="6"/>
  <c r="L49" i="6"/>
  <c r="L57" i="6"/>
  <c r="L392" i="6"/>
  <c r="L482" i="6"/>
  <c r="L185" i="6"/>
  <c r="L43" i="6"/>
  <c r="L448" i="6"/>
  <c r="L175" i="6"/>
  <c r="L89" i="6"/>
  <c r="L287" i="6"/>
  <c r="L72" i="6"/>
  <c r="L327" i="6"/>
  <c r="L158" i="6"/>
  <c r="L157" i="6"/>
  <c r="L267" i="6"/>
  <c r="L387" i="6"/>
  <c r="L495" i="6"/>
  <c r="L527" i="6"/>
  <c r="L194" i="6"/>
  <c r="L298" i="6"/>
  <c r="L518" i="6"/>
  <c r="L533" i="6"/>
  <c r="L55" i="6"/>
  <c r="L332" i="6"/>
  <c r="L331" i="6"/>
  <c r="L90" i="6"/>
  <c r="L412" i="6"/>
  <c r="L516" i="6"/>
  <c r="L553" i="6"/>
  <c r="L41" i="6"/>
  <c r="L447" i="6"/>
  <c r="L155" i="6"/>
  <c r="L145" i="6"/>
  <c r="L137" i="6"/>
  <c r="L253" i="6"/>
  <c r="L369" i="6"/>
  <c r="L521" i="6"/>
  <c r="L260" i="6"/>
  <c r="L235" i="6"/>
  <c r="L543" i="6"/>
  <c r="L60" i="6"/>
  <c r="L536" i="6"/>
  <c r="L349" i="6"/>
  <c r="L520" i="6"/>
  <c r="L390" i="6"/>
  <c r="L554" i="6"/>
  <c r="L42" i="6"/>
  <c r="L326" i="6"/>
  <c r="L270" i="6"/>
  <c r="L278" i="6"/>
  <c r="L232" i="6"/>
  <c r="L341" i="6"/>
  <c r="L285" i="6"/>
  <c r="L210" i="6"/>
  <c r="L329" i="6"/>
  <c r="L259" i="6"/>
  <c r="L360" i="6"/>
  <c r="L432" i="6"/>
  <c r="L348" i="6"/>
  <c r="L46" i="6"/>
  <c r="L14" i="6"/>
  <c r="L66" i="6"/>
  <c r="L159" i="6"/>
  <c r="L261" i="6"/>
  <c r="L154" i="6"/>
  <c r="L380" i="6"/>
  <c r="L542" i="6"/>
  <c r="L399" i="6"/>
  <c r="L35" i="6"/>
  <c r="L54" i="6"/>
  <c r="L426" i="6"/>
  <c r="L541" i="6"/>
  <c r="L257" i="6"/>
  <c r="L119" i="6"/>
  <c r="L515" i="6"/>
  <c r="L453" i="6"/>
  <c r="L209" i="6"/>
  <c r="L288" i="6"/>
  <c r="L339" i="6"/>
  <c r="L311" i="6"/>
  <c r="L229" i="6"/>
  <c r="L264" i="6"/>
  <c r="L187" i="6"/>
  <c r="L424" i="6"/>
  <c r="L355" i="6"/>
  <c r="L410" i="6"/>
  <c r="L532" i="6"/>
  <c r="L248" i="6"/>
  <c r="L173" i="6"/>
  <c r="L296" i="6"/>
  <c r="L418" i="6"/>
  <c r="L303" i="6"/>
  <c r="L282" i="6"/>
  <c r="L501" i="6"/>
  <c r="L170" i="6"/>
  <c r="L277" i="6"/>
  <c r="L353" i="6"/>
  <c r="L423" i="6"/>
  <c r="L346" i="6"/>
  <c r="L84" i="6"/>
  <c r="L366" i="6"/>
  <c r="L97" i="6"/>
  <c r="L58" i="6"/>
  <c r="L13" i="6"/>
  <c r="L86" i="6"/>
  <c r="L223" i="6"/>
  <c r="L317" i="6"/>
  <c r="L172" i="6"/>
  <c r="L540" i="6"/>
  <c r="L359" i="6"/>
  <c r="L362" i="6"/>
  <c r="L449" i="6"/>
  <c r="L365" i="6"/>
  <c r="L438" i="6"/>
  <c r="L550" i="6"/>
  <c r="L289" i="6"/>
  <c r="L481" i="6"/>
  <c r="L463" i="6"/>
  <c r="L477" i="6"/>
  <c r="L478" i="6"/>
  <c r="L33" i="6"/>
  <c r="L82" i="6"/>
  <c r="L15" i="6"/>
  <c r="L218" i="6"/>
  <c r="L490" i="6"/>
  <c r="L24" i="6"/>
  <c r="L445" i="6"/>
  <c r="L156" i="6"/>
  <c r="L77" i="6"/>
  <c r="L442" i="6"/>
  <c r="L75" i="6"/>
  <c r="L16" i="6"/>
  <c r="L107" i="6"/>
  <c r="L88" i="6"/>
  <c r="L225" i="6"/>
  <c r="L471" i="6"/>
  <c r="L98" i="6"/>
  <c r="L446" i="6"/>
  <c r="L191" i="6"/>
  <c r="L101" i="6"/>
  <c r="L473" i="6"/>
  <c r="L538" i="6"/>
  <c r="L358" i="6"/>
  <c r="L255" i="6"/>
  <c r="L26" i="6"/>
  <c r="L30" i="6"/>
  <c r="L459" i="6"/>
  <c r="L539" i="6"/>
  <c r="L549" i="6"/>
  <c r="L374" i="6"/>
  <c r="L247" i="6"/>
  <c r="L217" i="6"/>
  <c r="L464" i="6"/>
  <c r="L485" i="6"/>
  <c r="L461" i="6"/>
  <c r="L213" i="6"/>
  <c r="L8" i="6"/>
  <c r="L455" i="6"/>
  <c r="L504" i="6"/>
  <c r="L451" i="6"/>
  <c r="L483" i="6"/>
  <c r="L109" i="6"/>
  <c r="L304" i="6"/>
  <c r="L236" i="6"/>
  <c r="L476" i="6"/>
  <c r="L437" i="6"/>
  <c r="L492" i="6"/>
  <c r="L71" i="6"/>
  <c r="L340" i="6"/>
  <c r="L505" i="6"/>
  <c r="L440" i="6"/>
  <c r="L244" i="6"/>
  <c r="L462" i="6"/>
  <c r="L246" i="6"/>
  <c r="L19" i="6"/>
  <c r="L214" i="6"/>
  <c r="L291" i="6"/>
  <c r="L404" i="6"/>
  <c r="L22" i="6"/>
  <c r="L128" i="6"/>
  <c r="L10" i="6"/>
  <c r="L227" i="6"/>
  <c r="L315" i="6"/>
  <c r="L180" i="6"/>
  <c r="L139" i="6"/>
  <c r="L506" i="6"/>
  <c r="L361" i="6"/>
  <c r="L193" i="6"/>
  <c r="L120" i="6"/>
  <c r="L441" i="6"/>
  <c r="L234" i="6"/>
  <c r="L129" i="6"/>
  <c r="L263" i="6"/>
  <c r="L276" i="6"/>
  <c r="L126" i="6"/>
  <c r="L7" i="6"/>
  <c r="L221" i="6"/>
  <c r="L310" i="6"/>
  <c r="L208" i="6"/>
  <c r="L364" i="6"/>
  <c r="L486" i="6"/>
  <c r="L460" i="6"/>
  <c r="L220" i="6"/>
  <c r="L450" i="6"/>
  <c r="L115" i="6"/>
  <c r="L537" i="6"/>
  <c r="L400" i="6"/>
  <c r="L142" i="6"/>
  <c r="L458" i="6"/>
  <c r="L401" i="6"/>
  <c r="L422" i="6"/>
  <c r="L166" i="6"/>
  <c r="L174" i="6"/>
  <c r="L147" i="6"/>
  <c r="L251" i="6"/>
  <c r="L487" i="6"/>
  <c r="L363" i="6"/>
  <c r="L466" i="6"/>
  <c r="L469" i="6"/>
  <c r="L141" i="6"/>
  <c r="L457" i="6"/>
  <c r="L357" i="6"/>
  <c r="L302" i="6"/>
  <c r="L18" i="6"/>
  <c r="L271" i="6"/>
  <c r="L407" i="6"/>
  <c r="L76" i="6"/>
  <c r="L243" i="6"/>
  <c r="L467" i="6"/>
  <c r="L144" i="6"/>
  <c r="L452" i="6"/>
  <c r="L20" i="6"/>
  <c r="L78" i="6"/>
  <c r="L23" i="6"/>
  <c r="L252" i="6"/>
  <c r="L479" i="6"/>
  <c r="L320" i="6"/>
  <c r="L11" i="6"/>
  <c r="L508" i="6"/>
  <c r="L211" i="6"/>
  <c r="L512" i="6"/>
  <c r="L233" i="6"/>
  <c r="L475" i="6"/>
  <c r="L222" i="6"/>
  <c r="L316" i="6"/>
  <c r="L121" i="6"/>
  <c r="L489" i="6"/>
  <c r="L150" i="6"/>
  <c r="L183" i="6"/>
  <c r="L491" i="6"/>
  <c r="L152" i="6"/>
  <c r="L493" i="6"/>
  <c r="L280" i="6"/>
  <c r="L167" i="6"/>
  <c r="L548" i="6"/>
  <c r="L444" i="6"/>
  <c r="L436" i="6"/>
  <c r="L465" i="6"/>
  <c r="L245" i="6"/>
  <c r="L546" i="6"/>
  <c r="L544" i="6"/>
  <c r="L165" i="6"/>
  <c r="N168" i="4"/>
  <c r="N56" i="4"/>
  <c r="N139" i="4"/>
  <c r="N37" i="4"/>
  <c r="N92" i="4"/>
  <c r="N196" i="4"/>
  <c r="N9" i="4"/>
  <c r="N450" i="4"/>
  <c r="N41" i="4"/>
  <c r="N265" i="4"/>
  <c r="N79" i="4"/>
  <c r="N323" i="4"/>
  <c r="N387" i="4"/>
  <c r="N62" i="4"/>
  <c r="N147" i="4"/>
  <c r="N101" i="4"/>
  <c r="N273" i="4"/>
  <c r="N434" i="4"/>
  <c r="N516" i="4"/>
  <c r="N226" i="4"/>
  <c r="N493" i="4"/>
  <c r="N451" i="4"/>
  <c r="N339" i="4"/>
  <c r="N466" i="4"/>
  <c r="N324" i="4"/>
  <c r="N420" i="4"/>
  <c r="N285" i="4"/>
  <c r="N231" i="4"/>
  <c r="N372" i="4"/>
  <c r="N304" i="4"/>
  <c r="N312" i="4"/>
  <c r="N32" i="4"/>
  <c r="N163" i="4"/>
  <c r="N185" i="4"/>
  <c r="N22" i="4"/>
  <c r="N194" i="4"/>
  <c r="N515" i="4"/>
  <c r="N233" i="4"/>
  <c r="N314" i="4"/>
  <c r="N460" i="4"/>
  <c r="N542" i="4"/>
  <c r="N87" i="4"/>
  <c r="N236" i="4"/>
  <c r="N366" i="4"/>
  <c r="N408" i="4"/>
  <c r="N367" i="4"/>
  <c r="N519" i="4"/>
  <c r="N270" i="4"/>
  <c r="N13" i="4"/>
  <c r="N311" i="4"/>
  <c r="N211" i="4"/>
  <c r="N469" i="4"/>
  <c r="N19" i="4"/>
  <c r="N467" i="4"/>
  <c r="N14" i="4"/>
  <c r="N268" i="4"/>
  <c r="N554" i="4"/>
  <c r="N82" i="4"/>
  <c r="N395" i="4"/>
  <c r="N455" i="4"/>
  <c r="N439" i="4"/>
  <c r="N410" i="4"/>
  <c r="N291" i="4"/>
  <c r="N476" i="4"/>
  <c r="N517" i="4"/>
  <c r="N548" i="4"/>
  <c r="N322" i="4"/>
  <c r="N539" i="4"/>
  <c r="N224" i="4"/>
  <c r="N66" i="4"/>
  <c r="N551" i="4"/>
  <c r="N75" i="4"/>
  <c r="N31" i="4"/>
  <c r="N191" i="4"/>
  <c r="N228" i="4"/>
  <c r="N225" i="4"/>
  <c r="N555" i="4"/>
  <c r="N329" i="4"/>
  <c r="N488" i="4"/>
  <c r="N239" i="4"/>
  <c r="N509" i="4"/>
  <c r="N370" i="4"/>
  <c r="N502" i="4"/>
  <c r="N160" i="4"/>
  <c r="N216" i="4"/>
  <c r="N465" i="4"/>
  <c r="N401" i="4"/>
  <c r="N473" i="4"/>
  <c r="N341" i="4"/>
  <c r="N53" i="4"/>
  <c r="N234" i="4"/>
  <c r="N122" i="4"/>
  <c r="N70" i="4"/>
  <c r="N350" i="4"/>
  <c r="N344" i="4"/>
  <c r="N35" i="4"/>
  <c r="N407" i="4"/>
  <c r="N358" i="4"/>
  <c r="N222" i="4"/>
  <c r="N40" i="4"/>
  <c r="N264" i="4"/>
  <c r="N461" i="4"/>
  <c r="N353" i="4"/>
  <c r="N132" i="4"/>
  <c r="N289" i="4"/>
  <c r="N498" i="4"/>
  <c r="N202" i="4"/>
  <c r="N159" i="4"/>
  <c r="N241" i="4"/>
  <c r="N124" i="4"/>
  <c r="N277" i="4"/>
  <c r="N76" i="4"/>
  <c r="N67" i="4"/>
  <c r="N453" i="4"/>
  <c r="N494" i="4"/>
  <c r="N149" i="4"/>
  <c r="N499" i="4"/>
  <c r="N187" i="4"/>
  <c r="N508" i="4"/>
  <c r="N18" i="4"/>
  <c r="N544" i="4"/>
  <c r="N288" i="4"/>
  <c r="N507" i="4"/>
  <c r="N133" i="4"/>
  <c r="N245" i="4"/>
  <c r="N368" i="4"/>
  <c r="N432" i="4"/>
  <c r="N459" i="4"/>
  <c r="N137" i="4"/>
  <c r="N43" i="4"/>
  <c r="N421" i="4"/>
  <c r="N396" i="4"/>
  <c r="N7" i="4"/>
  <c r="N440" i="4"/>
  <c r="N430" i="4"/>
  <c r="N361" i="4"/>
  <c r="N106" i="4"/>
  <c r="N161" i="4"/>
  <c r="N43" i="5"/>
  <c r="N17" i="5"/>
  <c r="N61" i="5"/>
  <c r="N18" i="5"/>
  <c r="N54" i="5"/>
  <c r="N24" i="5"/>
  <c r="N14" i="5"/>
  <c r="N9" i="5"/>
  <c r="N31" i="5"/>
  <c r="N42" i="5"/>
  <c r="N64" i="5"/>
  <c r="N56" i="5"/>
  <c r="N22" i="5"/>
  <c r="N67" i="5"/>
  <c r="N16" i="5"/>
  <c r="N25" i="5"/>
  <c r="N44" i="5"/>
  <c r="N19" i="5"/>
  <c r="M11" i="7"/>
  <c r="N541" i="4"/>
  <c r="N489" i="4"/>
  <c r="N276" i="4"/>
  <c r="N121" i="4"/>
  <c r="N172" i="4"/>
  <c r="N352" i="4"/>
  <c r="N151" i="4"/>
  <c r="N97" i="4"/>
  <c r="N282" i="4"/>
  <c r="N107" i="4"/>
  <c r="N348" i="4"/>
  <c r="N415" i="4"/>
  <c r="N205" i="4"/>
  <c r="N12" i="4"/>
  <c r="N246" i="4"/>
  <c r="N513" i="4"/>
  <c r="N332" i="4"/>
  <c r="N531" i="4"/>
  <c r="N557" i="4"/>
  <c r="N392" i="4"/>
  <c r="N354" i="4"/>
  <c r="N529" i="4"/>
  <c r="N118" i="4"/>
  <c r="N550" i="4"/>
  <c r="N425" i="4"/>
  <c r="N319" i="4"/>
  <c r="N384" i="4"/>
  <c r="N181" i="4"/>
  <c r="N462" i="4"/>
  <c r="N287" i="4"/>
  <c r="N472" i="4"/>
  <c r="N212" i="4"/>
  <c r="N227" i="4"/>
  <c r="N409" i="4"/>
  <c r="N280" i="4"/>
  <c r="N237" i="4"/>
  <c r="N360" i="4"/>
  <c r="N213" i="4"/>
  <c r="N510" i="4"/>
  <c r="N158" i="4"/>
  <c r="N89" i="4"/>
  <c r="N120" i="4"/>
  <c r="N452" i="4"/>
  <c r="N221" i="4"/>
  <c r="N110" i="4"/>
  <c r="N154" i="4"/>
  <c r="N261" i="4"/>
  <c r="N296" i="4"/>
  <c r="N42" i="4"/>
  <c r="N522" i="4"/>
  <c r="N418" i="4"/>
  <c r="N215" i="4"/>
  <c r="N375" i="4"/>
  <c r="N30" i="4"/>
  <c r="N445" i="4"/>
  <c r="N345" i="4"/>
  <c r="N253" i="4"/>
  <c r="N256" i="4"/>
  <c r="N479" i="4"/>
  <c r="N204" i="4"/>
  <c r="N50" i="4"/>
  <c r="N36" i="4"/>
  <c r="N523" i="4"/>
  <c r="N443" i="4"/>
  <c r="N94" i="4"/>
  <c r="N553" i="4"/>
  <c r="N57" i="4"/>
  <c r="N272" i="4"/>
  <c r="N15" i="4"/>
  <c r="N77" i="4"/>
  <c r="N301" i="4"/>
  <c r="N8" i="4"/>
  <c r="N131" i="4"/>
  <c r="N521" i="4"/>
  <c r="N306" i="4"/>
  <c r="N506" i="4"/>
  <c r="N441" i="4"/>
  <c r="N442" i="4"/>
  <c r="N532" i="4"/>
  <c r="N28" i="4"/>
  <c r="N525" i="4"/>
  <c r="N414" i="4"/>
  <c r="N483" i="4"/>
  <c r="N140" i="4"/>
  <c r="N127" i="4"/>
  <c r="N104" i="4"/>
  <c r="N26" i="4"/>
  <c r="N157" i="4"/>
  <c r="N263" i="4"/>
  <c r="N255" i="4"/>
  <c r="N11" i="4"/>
  <c r="N48" i="4"/>
  <c r="N145" i="4"/>
  <c r="N148" i="4"/>
  <c r="N546" i="4"/>
  <c r="N242" i="4"/>
  <c r="N437" i="4"/>
  <c r="N524" i="4"/>
  <c r="N412" i="4"/>
  <c r="N334" i="4"/>
  <c r="N219" i="4"/>
  <c r="N355" i="4"/>
  <c r="N189" i="4"/>
  <c r="N190" i="4"/>
  <c r="N105" i="4"/>
  <c r="N438" i="4"/>
  <c r="N393" i="4"/>
  <c r="N183" i="4"/>
  <c r="N251" i="4"/>
  <c r="N83" i="4"/>
  <c r="N305" i="4"/>
  <c r="N180" i="4"/>
  <c r="N331" i="4"/>
  <c r="N150" i="4"/>
  <c r="N155" i="4"/>
  <c r="N63" i="4"/>
  <c r="N504" i="4"/>
  <c r="N526" i="4"/>
  <c r="N259" i="4"/>
  <c r="N386" i="4"/>
  <c r="N113" i="4"/>
  <c r="N229" i="4"/>
  <c r="N207" i="4"/>
  <c r="N136" i="4"/>
  <c r="N91" i="4"/>
  <c r="N481" i="4"/>
  <c r="N336" i="4"/>
  <c r="N501" i="4"/>
  <c r="N326" i="4"/>
  <c r="N27" i="4"/>
  <c r="N99" i="4"/>
  <c r="N496" i="4"/>
  <c r="N109" i="4"/>
  <c r="N435" i="4"/>
  <c r="N84" i="4"/>
  <c r="N357" i="4"/>
  <c r="N65" i="4"/>
  <c r="N284" i="4"/>
  <c r="N390" i="4"/>
  <c r="N152" i="4"/>
  <c r="N382" i="4"/>
  <c r="N125" i="4"/>
  <c r="N34" i="4"/>
  <c r="N249" i="4"/>
  <c r="N38" i="5"/>
  <c r="N47" i="5"/>
  <c r="N28" i="5"/>
  <c r="N13" i="5"/>
  <c r="N52" i="5"/>
  <c r="N26" i="5"/>
  <c r="N37" i="5"/>
  <c r="N11" i="5"/>
  <c r="N66" i="5"/>
  <c r="N15" i="5"/>
  <c r="N27" i="5"/>
  <c r="N23" i="5"/>
  <c r="N63" i="5"/>
  <c r="N50" i="5"/>
  <c r="N76" i="5"/>
  <c r="N51" i="5"/>
  <c r="N49" i="5"/>
  <c r="N60" i="5"/>
  <c r="M10" i="7"/>
  <c r="M12" i="7"/>
  <c r="N468" i="4"/>
  <c r="N429" i="4"/>
  <c r="N534" i="4"/>
  <c r="N197" i="4"/>
  <c r="N520" i="4"/>
  <c r="N69" i="4"/>
  <c r="N380" i="4"/>
  <c r="N33" i="4"/>
  <c r="N112" i="4"/>
  <c r="N258" i="4"/>
  <c r="N486" i="4"/>
  <c r="N142" i="4"/>
  <c r="N176" i="4"/>
  <c r="N537" i="4"/>
  <c r="N108" i="4"/>
  <c r="N262" i="4"/>
  <c r="N303" i="4"/>
  <c r="N478" i="4"/>
  <c r="N316" i="4"/>
  <c r="N307" i="4"/>
  <c r="N533" i="4"/>
  <c r="N238" i="4"/>
  <c r="N257" i="4"/>
  <c r="N492" i="4"/>
  <c r="N480" i="4"/>
  <c r="N218" i="4"/>
  <c r="N203" i="4"/>
  <c r="N426" i="4"/>
  <c r="N294" i="4"/>
  <c r="N116" i="4"/>
  <c r="N422" i="4"/>
  <c r="N406" i="4"/>
  <c r="N54" i="4"/>
  <c r="N484" i="4"/>
  <c r="N119" i="4"/>
  <c r="N310" i="4"/>
  <c r="N397" i="4"/>
  <c r="N416" i="4"/>
  <c r="N411" i="4"/>
  <c r="N300" i="4"/>
  <c r="N214" i="4"/>
  <c r="N21" i="4"/>
  <c r="N457" i="4"/>
  <c r="N362" i="4"/>
  <c r="N545" i="4"/>
  <c r="N171" i="4"/>
  <c r="N167" i="4"/>
  <c r="N179" i="4"/>
  <c r="N115" i="4"/>
  <c r="N318" i="4"/>
  <c r="N340" i="4"/>
  <c r="N198" i="4"/>
  <c r="N165" i="4"/>
  <c r="N49" i="4"/>
  <c r="N93" i="4"/>
  <c r="N474" i="4"/>
  <c r="N321" i="4"/>
  <c r="N117" i="4"/>
  <c r="N235" i="4"/>
  <c r="N381" i="4"/>
  <c r="N240" i="4"/>
  <c r="N164" i="4"/>
  <c r="N327" i="4"/>
  <c r="N232" i="4"/>
  <c r="N220" i="4"/>
  <c r="N394" i="4"/>
  <c r="N86" i="4"/>
  <c r="N399" i="4"/>
  <c r="N505" i="4"/>
  <c r="N123" i="4"/>
  <c r="N308" i="4"/>
  <c r="N230" i="4"/>
  <c r="N58" i="4"/>
  <c r="N98" i="4"/>
  <c r="N260" i="4"/>
  <c r="N144" i="4"/>
  <c r="N463" i="4"/>
  <c r="N338" i="4"/>
  <c r="N266" i="4"/>
  <c r="N552" i="4"/>
  <c r="N143" i="4"/>
  <c r="N503" i="4"/>
  <c r="N413" i="4"/>
  <c r="N126" i="4"/>
  <c r="N330" i="4"/>
  <c r="N556" i="4"/>
  <c r="N538" i="4"/>
  <c r="N20" i="4"/>
  <c r="N73" i="4"/>
  <c r="N130" i="4"/>
  <c r="N146" i="4"/>
  <c r="N290" i="4"/>
  <c r="N404" i="4"/>
  <c r="N129" i="4"/>
  <c r="N417" i="4"/>
  <c r="N100" i="4"/>
  <c r="N64" i="4"/>
  <c r="N297" i="4"/>
  <c r="N162" i="4"/>
  <c r="N436" i="4"/>
  <c r="N364" i="4"/>
  <c r="N59" i="4"/>
  <c r="N398" i="4"/>
  <c r="N527" i="4"/>
  <c r="N433" i="4"/>
  <c r="N293" i="4"/>
  <c r="N178" i="4"/>
  <c r="N470" i="4"/>
  <c r="N383" i="4"/>
  <c r="N23" i="4"/>
  <c r="N320" i="4"/>
  <c r="N309" i="4"/>
  <c r="N365" i="4"/>
  <c r="N210" i="4"/>
  <c r="N201" i="4"/>
  <c r="N278" i="4"/>
  <c r="N391" i="4"/>
  <c r="N374" i="4"/>
  <c r="N252" i="4"/>
  <c r="N170" i="4"/>
  <c r="N543" i="4"/>
  <c r="N283" i="4"/>
  <c r="N195" i="4"/>
  <c r="N333" i="4"/>
  <c r="N302" i="4"/>
  <c r="N24" i="4"/>
  <c r="N90" i="4"/>
  <c r="N81" i="4"/>
  <c r="N385" i="4"/>
  <c r="N298" i="4"/>
  <c r="N25" i="4"/>
  <c r="N186" i="4"/>
  <c r="N17" i="4"/>
  <c r="N65" i="5"/>
  <c r="N71" i="5"/>
  <c r="N46" i="5"/>
  <c r="N34" i="5"/>
  <c r="N33" i="5"/>
  <c r="N62" i="5"/>
  <c r="N75" i="5"/>
  <c r="N68" i="5"/>
  <c r="N21" i="5"/>
  <c r="N72" i="5"/>
  <c r="N58" i="5"/>
  <c r="N30" i="5"/>
  <c r="N35" i="5"/>
  <c r="N57" i="5"/>
  <c r="N41" i="5"/>
  <c r="N500" i="4"/>
  <c r="N419" i="4"/>
  <c r="N373" i="4"/>
  <c r="N378" i="4"/>
  <c r="N295" i="4"/>
  <c r="N458" i="4"/>
  <c r="N491" i="4"/>
  <c r="N200" i="4"/>
  <c r="N446" i="4"/>
  <c r="N134" i="4"/>
  <c r="N347" i="4"/>
  <c r="N206" i="4"/>
  <c r="N209" i="4"/>
  <c r="N335" i="4"/>
  <c r="N248" i="4"/>
  <c r="N274" i="4"/>
  <c r="N45" i="4"/>
  <c r="N135" i="4"/>
  <c r="N169" i="4"/>
  <c r="N269" i="4"/>
  <c r="N518" i="4"/>
  <c r="N85" i="4"/>
  <c r="N55" i="4"/>
  <c r="N141" i="4"/>
  <c r="N530" i="4"/>
  <c r="N29" i="4"/>
  <c r="N174" i="4"/>
  <c r="N449" i="4"/>
  <c r="N281" i="4"/>
  <c r="N299" i="4"/>
  <c r="N475" i="4"/>
  <c r="N78" i="4"/>
  <c r="N427" i="4"/>
  <c r="N471" i="4"/>
  <c r="N10" i="4"/>
  <c r="N547" i="4"/>
  <c r="N325" i="4"/>
  <c r="N464" i="4"/>
  <c r="N512" i="4"/>
  <c r="N497" i="4"/>
  <c r="N138" i="4"/>
  <c r="N223" i="4"/>
  <c r="N61" i="4"/>
  <c r="N71" i="4"/>
  <c r="N487" i="4"/>
  <c r="N275" i="4"/>
  <c r="N477" i="4"/>
  <c r="N80" i="4"/>
  <c r="N456" i="4"/>
  <c r="N51" i="4"/>
  <c r="N166" i="4"/>
  <c r="N363" i="4"/>
  <c r="N271" i="4"/>
  <c r="N454" i="4"/>
  <c r="N177" i="4"/>
  <c r="N182" i="4"/>
  <c r="N156" i="4"/>
  <c r="N317" i="4"/>
  <c r="N349" i="4"/>
  <c r="N74" i="4"/>
  <c r="N402" i="4"/>
  <c r="N536" i="4"/>
  <c r="N44" i="4"/>
  <c r="N540" i="4"/>
  <c r="N247" i="4"/>
  <c r="N535" i="4"/>
  <c r="N377" i="4"/>
  <c r="N431" i="4"/>
  <c r="N16" i="4"/>
  <c r="N184" i="4"/>
  <c r="N217" i="4"/>
  <c r="N511" i="4"/>
  <c r="N356" i="4"/>
  <c r="N482" i="4"/>
  <c r="N102" i="4"/>
  <c r="N313" i="4"/>
  <c r="N96" i="4"/>
  <c r="N199" i="4"/>
  <c r="N342" i="4"/>
  <c r="N46" i="4"/>
  <c r="N38" i="4"/>
  <c r="N244" i="4"/>
  <c r="N193" i="4"/>
  <c r="N114" i="4"/>
  <c r="N424" i="4"/>
  <c r="N490" i="4"/>
  <c r="N103" i="4"/>
  <c r="N279" i="4"/>
  <c r="N153" i="4"/>
  <c r="N175" i="4"/>
  <c r="N267" i="4"/>
  <c r="N95" i="4"/>
  <c r="N47" i="4"/>
  <c r="N111" i="4"/>
  <c r="N292" i="4"/>
  <c r="N444" i="4"/>
  <c r="N485" i="4"/>
  <c r="N52" i="4"/>
  <c r="N286" i="4"/>
  <c r="N447" i="4"/>
  <c r="N549" i="4"/>
  <c r="N328" i="4"/>
  <c r="N315" i="4"/>
  <c r="N376" i="4"/>
  <c r="N39" i="4"/>
  <c r="N188" i="4"/>
  <c r="N60" i="4"/>
  <c r="N68" i="4"/>
  <c r="N254" i="4"/>
  <c r="N72" i="4"/>
  <c r="N400" i="4"/>
  <c r="N423" i="4"/>
  <c r="N243" i="4"/>
  <c r="N389" i="4"/>
  <c r="N337" i="4"/>
  <c r="N208" i="4"/>
  <c r="N448" i="4"/>
  <c r="N351" i="4"/>
  <c r="N359" i="4"/>
  <c r="N346" i="4"/>
  <c r="N128" i="4"/>
  <c r="N528" i="4"/>
  <c r="N88" i="4"/>
  <c r="N495" i="4"/>
  <c r="N514" i="4"/>
  <c r="N388" i="4"/>
  <c r="N343" i="4"/>
  <c r="N192" i="4"/>
  <c r="N405" i="4"/>
  <c r="N379" i="4"/>
  <c r="N428" i="4"/>
  <c r="N369" i="4"/>
  <c r="N403" i="4"/>
  <c r="N250" i="4"/>
  <c r="N371" i="4"/>
  <c r="N173" i="4"/>
  <c r="N40" i="5"/>
  <c r="N39" i="5"/>
  <c r="N70" i="5"/>
  <c r="N74" i="5"/>
  <c r="N69" i="5"/>
  <c r="N32" i="5"/>
  <c r="N55" i="5"/>
  <c r="N59" i="5"/>
  <c r="N36" i="5"/>
  <c r="N73" i="5"/>
  <c r="N29" i="5"/>
  <c r="N53" i="5"/>
  <c r="N20" i="5"/>
  <c r="N12" i="5"/>
  <c r="N48" i="5"/>
  <c r="N45" i="5"/>
  <c r="A99" i="57" l="1"/>
  <c r="A78" i="57"/>
  <c r="C10" i="20"/>
  <c r="Q87" i="10"/>
  <c r="Q122" i="10"/>
  <c r="Q142" i="10"/>
  <c r="Q71" i="10"/>
  <c r="R71" i="10" s="1"/>
  <c r="Q160" i="10"/>
  <c r="Q171" i="10"/>
  <c r="Q184" i="10"/>
  <c r="Q88" i="10"/>
  <c r="Q125" i="10"/>
  <c r="Q139" i="10"/>
  <c r="Q128" i="10"/>
  <c r="Q143" i="10"/>
  <c r="Q151" i="10"/>
  <c r="R151" i="10" s="1"/>
  <c r="Q156" i="10"/>
  <c r="Q77" i="10"/>
  <c r="S77" i="10" s="1"/>
  <c r="Q164" i="10"/>
  <c r="Q75" i="10"/>
  <c r="R75" i="10" s="1"/>
  <c r="Q124" i="10"/>
  <c r="Q187" i="10"/>
  <c r="Q84" i="10"/>
  <c r="Q101" i="10"/>
  <c r="Q98" i="10"/>
  <c r="AA71" i="10"/>
  <c r="AA135" i="10"/>
  <c r="AJ135" i="10" s="1"/>
  <c r="AA134" i="10"/>
  <c r="Y151" i="10"/>
  <c r="AA150" i="10"/>
  <c r="AA185" i="10"/>
  <c r="AA100" i="10"/>
  <c r="AJ100" i="10" s="1"/>
  <c r="AA96" i="10"/>
  <c r="AK80" i="10"/>
  <c r="AJ118" i="10"/>
  <c r="AA117" i="10"/>
  <c r="Y117" i="10"/>
  <c r="AA116" i="10"/>
  <c r="AA146" i="10"/>
  <c r="AJ138" i="10"/>
  <c r="AA136" i="10"/>
  <c r="R77" i="10"/>
  <c r="K84" i="10"/>
  <c r="AK76" i="10"/>
  <c r="O128" i="10"/>
  <c r="O62" i="10"/>
  <c r="O77" i="10"/>
  <c r="T77" i="10" s="1"/>
  <c r="O75" i="10"/>
  <c r="AB135" i="10"/>
  <c r="AG135" i="10" s="1"/>
  <c r="AK135" i="10" s="1"/>
  <c r="M155" i="10"/>
  <c r="M180" i="10"/>
  <c r="M171" i="10"/>
  <c r="M140" i="10"/>
  <c r="AA140" i="10" s="1"/>
  <c r="AF140" i="10" s="1"/>
  <c r="M143" i="10"/>
  <c r="M156" i="10"/>
  <c r="AA156" i="10" s="1"/>
  <c r="AF156" i="10" s="1"/>
  <c r="S151" i="10"/>
  <c r="R105" i="10"/>
  <c r="R83" i="10"/>
  <c r="R90" i="10"/>
  <c r="R68" i="10"/>
  <c r="R126" i="10"/>
  <c r="Y68" i="10"/>
  <c r="Z70" i="10"/>
  <c r="Y110" i="10"/>
  <c r="Y124" i="10"/>
  <c r="Z110" i="10"/>
  <c r="Z124" i="10"/>
  <c r="Y136" i="10"/>
  <c r="Y144" i="10"/>
  <c r="X129" i="10"/>
  <c r="Y131" i="10"/>
  <c r="Y139" i="10"/>
  <c r="Z129" i="10"/>
  <c r="Z135" i="10"/>
  <c r="X175" i="10"/>
  <c r="Z178" i="10"/>
  <c r="Z184" i="10"/>
  <c r="Z162" i="10"/>
  <c r="Y135" i="10"/>
  <c r="Z168" i="10"/>
  <c r="W131" i="10"/>
  <c r="Y115" i="10"/>
  <c r="Z115" i="10"/>
  <c r="Y160" i="10"/>
  <c r="Z127" i="10"/>
  <c r="Y86" i="10"/>
  <c r="AA81" i="10"/>
  <c r="AA80" i="10"/>
  <c r="X70" i="10"/>
  <c r="AA87" i="10"/>
  <c r="AA86" i="10"/>
  <c r="AA85" i="10"/>
  <c r="AA127" i="10"/>
  <c r="AA110" i="10"/>
  <c r="AA163" i="10"/>
  <c r="X184" i="10"/>
  <c r="AA183" i="10"/>
  <c r="Y92" i="10"/>
  <c r="Z92" i="10"/>
  <c r="Z99" i="10"/>
  <c r="Z95" i="10"/>
  <c r="X100" i="10"/>
  <c r="X96" i="10"/>
  <c r="AA91" i="10"/>
  <c r="W7" i="24"/>
  <c r="H7" i="24"/>
  <c r="AJ60" i="10"/>
  <c r="D29" i="10"/>
  <c r="AJ116" i="10"/>
  <c r="AJ162" i="10"/>
  <c r="AJ68" i="10"/>
  <c r="AJ121" i="10"/>
  <c r="AJ98" i="10"/>
  <c r="N11" i="14"/>
  <c r="N110" i="10"/>
  <c r="N168" i="10"/>
  <c r="N163" i="10"/>
  <c r="N81" i="10"/>
  <c r="N118" i="10"/>
  <c r="N86" i="10"/>
  <c r="AB86" i="10" s="1"/>
  <c r="AG86" i="10" s="1"/>
  <c r="AK86" i="10" s="1"/>
  <c r="N70" i="10"/>
  <c r="N108" i="10"/>
  <c r="N149" i="10"/>
  <c r="AJ137" i="10"/>
  <c r="N92" i="10"/>
  <c r="AB92" i="10" s="1"/>
  <c r="AG92" i="10" s="1"/>
  <c r="AK92" i="10" s="1"/>
  <c r="N101" i="10"/>
  <c r="AB101" i="10" s="1"/>
  <c r="AG101" i="10" s="1"/>
  <c r="R171" i="10"/>
  <c r="R137" i="10"/>
  <c r="S169" i="10"/>
  <c r="B10" i="20"/>
  <c r="Y80" i="10"/>
  <c r="Z80" i="10"/>
  <c r="Z76" i="10"/>
  <c r="Y76" i="10"/>
  <c r="AC76" i="10" s="1"/>
  <c r="AH76" i="10" s="1"/>
  <c r="AL76" i="10" s="1"/>
  <c r="AK75" i="10"/>
  <c r="X71" i="10"/>
  <c r="Z71" i="10"/>
  <c r="Z107" i="10"/>
  <c r="X107" i="10"/>
  <c r="AK90" i="10"/>
  <c r="AJ165" i="10"/>
  <c r="AJ140" i="10"/>
  <c r="AJ156" i="10"/>
  <c r="F10" i="20"/>
  <c r="AJ77" i="10"/>
  <c r="Y75" i="10"/>
  <c r="AC75" i="10" s="1"/>
  <c r="AH75" i="10" s="1"/>
  <c r="AL75" i="10" s="1"/>
  <c r="Z75" i="10"/>
  <c r="AB74" i="10"/>
  <c r="Z73" i="10"/>
  <c r="Y73" i="10"/>
  <c r="AJ71" i="10"/>
  <c r="Z69" i="10"/>
  <c r="X69" i="10"/>
  <c r="AK62" i="10"/>
  <c r="Y106" i="10"/>
  <c r="W106" i="10"/>
  <c r="AJ81" i="10"/>
  <c r="AA79" i="10"/>
  <c r="AJ79" i="10" s="1"/>
  <c r="AK77" i="10"/>
  <c r="AJ75" i="10"/>
  <c r="AJ73" i="10"/>
  <c r="AA72" i="10"/>
  <c r="AJ72" i="10" s="1"/>
  <c r="AA70" i="10"/>
  <c r="AA65" i="10"/>
  <c r="AJ65" i="10" s="1"/>
  <c r="AA63" i="10"/>
  <c r="AJ63" i="10" s="1"/>
  <c r="AJ62" i="10"/>
  <c r="AJ107" i="10"/>
  <c r="AJ90" i="10"/>
  <c r="AJ87" i="10"/>
  <c r="AA84" i="10"/>
  <c r="AA83" i="10"/>
  <c r="AJ83" i="10" s="1"/>
  <c r="AA128" i="10"/>
  <c r="AJ127" i="10"/>
  <c r="X127" i="10"/>
  <c r="AA126" i="10"/>
  <c r="AJ120" i="10"/>
  <c r="Y120" i="10"/>
  <c r="W112" i="10"/>
  <c r="AJ110" i="10"/>
  <c r="AJ146" i="10"/>
  <c r="W142" i="10"/>
  <c r="X137" i="10"/>
  <c r="W132" i="10"/>
  <c r="AA159" i="10"/>
  <c r="AA158" i="10"/>
  <c r="AJ158" i="10" s="1"/>
  <c r="W153" i="10"/>
  <c r="AA153" i="10" s="1"/>
  <c r="AF153" i="10" s="1"/>
  <c r="AJ153" i="10" s="1"/>
  <c r="AJ150" i="10"/>
  <c r="X150" i="10"/>
  <c r="AA149" i="10"/>
  <c r="AJ149" i="10" s="1"/>
  <c r="AJ187" i="10"/>
  <c r="Y187" i="10"/>
  <c r="AC187" i="10" s="1"/>
  <c r="AH187" i="10" s="1"/>
  <c r="AL187" i="10" s="1"/>
  <c r="AJ186" i="10"/>
  <c r="AA184" i="10"/>
  <c r="W179" i="10"/>
  <c r="AA179" i="10" s="1"/>
  <c r="AF179" i="10" s="1"/>
  <c r="AJ179" i="10" s="1"/>
  <c r="W178" i="10"/>
  <c r="X173" i="10"/>
  <c r="AB173" i="10" s="1"/>
  <c r="AG173" i="10" s="1"/>
  <c r="AK173" i="10" s="1"/>
  <c r="W172" i="10"/>
  <c r="AA169" i="10"/>
  <c r="AJ169" i="10" s="1"/>
  <c r="AA168" i="10"/>
  <c r="AJ168" i="10" s="1"/>
  <c r="AA101" i="10"/>
  <c r="AJ101" i="10" s="1"/>
  <c r="AK99" i="10"/>
  <c r="AB97" i="10"/>
  <c r="AK97" i="10" s="1"/>
  <c r="AB94" i="10"/>
  <c r="AJ92" i="10"/>
  <c r="AJ126" i="10"/>
  <c r="AK122" i="10"/>
  <c r="AJ145" i="10"/>
  <c r="AJ163" i="10"/>
  <c r="AJ159" i="10"/>
  <c r="AJ184" i="10"/>
  <c r="AJ173" i="10"/>
  <c r="AJ102" i="10"/>
  <c r="AB100" i="10"/>
  <c r="AG100" i="10" s="1"/>
  <c r="AK100" i="10" s="1"/>
  <c r="AJ96" i="10"/>
  <c r="A71" i="57"/>
  <c r="AJ128" i="10"/>
  <c r="F50" i="14"/>
  <c r="F49" i="14" s="1"/>
  <c r="Y113" i="10"/>
  <c r="W113" i="10"/>
  <c r="X113" i="10"/>
  <c r="X108" i="10"/>
  <c r="AB108" i="10" s="1"/>
  <c r="AG108" i="10" s="1"/>
  <c r="AK108" i="10" s="1"/>
  <c r="Y108" i="10"/>
  <c r="X67" i="10"/>
  <c r="Y67" i="10"/>
  <c r="AB168" i="10"/>
  <c r="AG168" i="10" s="1"/>
  <c r="AK168" i="10" s="1"/>
  <c r="X147" i="10"/>
  <c r="Z147" i="10"/>
  <c r="Y147" i="10"/>
  <c r="Y123" i="10"/>
  <c r="W123" i="10"/>
  <c r="X123" i="10"/>
  <c r="R88" i="10"/>
  <c r="AJ122" i="10"/>
  <c r="Y154" i="10"/>
  <c r="Z154" i="10"/>
  <c r="X154" i="10"/>
  <c r="Z134" i="10"/>
  <c r="Y134" i="10"/>
  <c r="Y88" i="10"/>
  <c r="Z88" i="10"/>
  <c r="X84" i="10"/>
  <c r="Z84" i="10"/>
  <c r="S75" i="10"/>
  <c r="X143" i="10"/>
  <c r="W143" i="10"/>
  <c r="AA143" i="10" s="1"/>
  <c r="AF143" i="10" s="1"/>
  <c r="AJ143" i="10" s="1"/>
  <c r="Z143" i="10"/>
  <c r="Y143" i="10"/>
  <c r="Z108" i="10"/>
  <c r="K181" i="10"/>
  <c r="K152" i="10"/>
  <c r="K71" i="10"/>
  <c r="K155" i="10"/>
  <c r="K130" i="10"/>
  <c r="K66" i="10"/>
  <c r="K177" i="10"/>
  <c r="K147" i="10"/>
  <c r="K150" i="10"/>
  <c r="K115" i="10"/>
  <c r="K141" i="10"/>
  <c r="K106" i="10"/>
  <c r="K183" i="10"/>
  <c r="K119" i="10"/>
  <c r="K110" i="10"/>
  <c r="Z166" i="10"/>
  <c r="Y166" i="10"/>
  <c r="X166" i="10"/>
  <c r="X165" i="10"/>
  <c r="Y165" i="10"/>
  <c r="Z165" i="10"/>
  <c r="AB110" i="10"/>
  <c r="AG110" i="10" s="1"/>
  <c r="AK110" i="10" s="1"/>
  <c r="Z113" i="10"/>
  <c r="AC151" i="10"/>
  <c r="AH151" i="10" s="1"/>
  <c r="AL151" i="10" s="1"/>
  <c r="AJ61" i="10"/>
  <c r="X138" i="10"/>
  <c r="Y138" i="10"/>
  <c r="N129" i="10"/>
  <c r="AB129" i="10" s="1"/>
  <c r="N161" i="10"/>
  <c r="AB161" i="10" s="1"/>
  <c r="N180" i="10"/>
  <c r="S180" i="10" s="1"/>
  <c r="N153" i="10"/>
  <c r="N155" i="10"/>
  <c r="N176" i="10"/>
  <c r="AB176" i="10" s="1"/>
  <c r="D8" i="28"/>
  <c r="M58" i="14"/>
  <c r="M57" i="14" s="1"/>
  <c r="M56" i="14" s="1"/>
  <c r="M55" i="14" s="1"/>
  <c r="M54" i="14" s="1"/>
  <c r="M53" i="14" s="1"/>
  <c r="M52" i="14" s="1"/>
  <c r="M51" i="14" s="1"/>
  <c r="M50" i="14" s="1"/>
  <c r="M49" i="14" s="1"/>
  <c r="B10" i="28"/>
  <c r="R87" i="10"/>
  <c r="S98" i="10"/>
  <c r="R98" i="10"/>
  <c r="I11" i="14"/>
  <c r="J11" i="14"/>
  <c r="L11" i="14"/>
  <c r="K11" i="14"/>
  <c r="W180" i="10"/>
  <c r="AA180" i="10" s="1"/>
  <c r="AF180" i="10" s="1"/>
  <c r="AJ180" i="10" s="1"/>
  <c r="Y180" i="10"/>
  <c r="X180" i="10"/>
  <c r="AA113" i="10"/>
  <c r="AF113" i="10" s="1"/>
  <c r="AJ113" i="10" s="1"/>
  <c r="AB134" i="10"/>
  <c r="AG134" i="10" s="1"/>
  <c r="AK134" i="10" s="1"/>
  <c r="AB73" i="10"/>
  <c r="AK73" i="10" s="1"/>
  <c r="E9" i="28"/>
  <c r="N59" i="14"/>
  <c r="E8" i="28" s="1"/>
  <c r="J18" i="28" s="1"/>
  <c r="Y128" i="10"/>
  <c r="AC128" i="10" s="1"/>
  <c r="AH128" i="10" s="1"/>
  <c r="AL128" i="10" s="1"/>
  <c r="Z128" i="10"/>
  <c r="B10" i="10"/>
  <c r="O61" i="14"/>
  <c r="B10" i="26"/>
  <c r="R122" i="10"/>
  <c r="R143" i="10"/>
  <c r="K109" i="10"/>
  <c r="AJ99" i="10"/>
  <c r="M112" i="10"/>
  <c r="AA112" i="10" s="1"/>
  <c r="AF112" i="10" s="1"/>
  <c r="AJ112" i="10" s="1"/>
  <c r="D27" i="10"/>
  <c r="AJ80" i="10"/>
  <c r="AJ91" i="10"/>
  <c r="K86" i="10"/>
  <c r="AK186" i="10"/>
  <c r="Q135" i="10"/>
  <c r="X117" i="10"/>
  <c r="AB117" i="10" s="1"/>
  <c r="AG117" i="10" s="1"/>
  <c r="AK117" i="10" s="1"/>
  <c r="AB152" i="10"/>
  <c r="AK152" i="10" s="1"/>
  <c r="D39" i="10"/>
  <c r="K154" i="10"/>
  <c r="K126" i="10"/>
  <c r="K96" i="10"/>
  <c r="N138" i="10"/>
  <c r="N158" i="10"/>
  <c r="N84" i="10"/>
  <c r="S84" i="10" s="1"/>
  <c r="M129" i="10"/>
  <c r="AA129" i="10" s="1"/>
  <c r="AF129" i="10" s="1"/>
  <c r="AJ129" i="10" s="1"/>
  <c r="M124" i="10"/>
  <c r="R124" i="10" s="1"/>
  <c r="Q76" i="10"/>
  <c r="Q161" i="10"/>
  <c r="Q179" i="10"/>
  <c r="R179" i="10" s="1"/>
  <c r="Q64" i="10"/>
  <c r="R64" i="10" s="1"/>
  <c r="Z163" i="10"/>
  <c r="Y69" i="10"/>
  <c r="AJ89" i="10"/>
  <c r="AJ82" i="10"/>
  <c r="AA152" i="10"/>
  <c r="AJ152" i="10" s="1"/>
  <c r="Z98" i="10"/>
  <c r="E50" i="14"/>
  <c r="E49" i="14" s="1"/>
  <c r="M78" i="10"/>
  <c r="AJ76" i="10"/>
  <c r="R180" i="10"/>
  <c r="M123" i="10"/>
  <c r="R123" i="10" s="1"/>
  <c r="AJ84" i="10"/>
  <c r="Y87" i="10"/>
  <c r="I54" i="14"/>
  <c r="I53" i="14" s="1"/>
  <c r="I52" i="14" s="1"/>
  <c r="I51" i="14" s="1"/>
  <c r="I50" i="14" s="1"/>
  <c r="I49" i="14" s="1"/>
  <c r="X172" i="10"/>
  <c r="AJ86" i="10"/>
  <c r="AJ85" i="10"/>
  <c r="N146" i="10"/>
  <c r="AB146" i="10" s="1"/>
  <c r="AG146" i="10" s="1"/>
  <c r="AK146" i="10" s="1"/>
  <c r="D32" i="10"/>
  <c r="K116" i="10"/>
  <c r="K149" i="10"/>
  <c r="K180" i="10"/>
  <c r="K97" i="10"/>
  <c r="N136" i="10"/>
  <c r="AB136" i="10" s="1"/>
  <c r="AG136" i="10" s="1"/>
  <c r="AK136" i="10" s="1"/>
  <c r="N82" i="10"/>
  <c r="AB82" i="10" s="1"/>
  <c r="AG82" i="10" s="1"/>
  <c r="AK82" i="10" s="1"/>
  <c r="N126" i="10"/>
  <c r="S126" i="10" s="1"/>
  <c r="M161" i="10"/>
  <c r="AA161" i="10" s="1"/>
  <c r="AF161" i="10" s="1"/>
  <c r="M111" i="10"/>
  <c r="R111" i="10" s="1"/>
  <c r="S88" i="10"/>
  <c r="Q119" i="10"/>
  <c r="Q170" i="10"/>
  <c r="Q63" i="10"/>
  <c r="B19" i="53"/>
  <c r="Z137" i="10"/>
  <c r="X178" i="10"/>
  <c r="Y158" i="10"/>
  <c r="AB89" i="10"/>
  <c r="AK89" i="10" s="1"/>
  <c r="AB149" i="10"/>
  <c r="AG149" i="10" s="1"/>
  <c r="AK149" i="10" s="1"/>
  <c r="AJ70" i="10"/>
  <c r="AJ183" i="10"/>
  <c r="N66" i="10"/>
  <c r="AB66" i="10" s="1"/>
  <c r="AG66" i="10" s="1"/>
  <c r="AK66" i="10" s="1"/>
  <c r="D37" i="10"/>
  <c r="K121" i="10"/>
  <c r="N87" i="10"/>
  <c r="AB87" i="10" s="1"/>
  <c r="AG87" i="10" s="1"/>
  <c r="AK87" i="10" s="1"/>
  <c r="Q185" i="10"/>
  <c r="R185" i="10" s="1"/>
  <c r="D28" i="10"/>
  <c r="K162" i="10"/>
  <c r="K171" i="10"/>
  <c r="R60" i="10"/>
  <c r="N72" i="10"/>
  <c r="AB72" i="10" s="1"/>
  <c r="AG72" i="10" s="1"/>
  <c r="AK72" i="10" s="1"/>
  <c r="N159" i="10"/>
  <c r="AB159" i="10" s="1"/>
  <c r="AG159" i="10" s="1"/>
  <c r="AK159" i="10" s="1"/>
  <c r="M175" i="10"/>
  <c r="M181" i="10"/>
  <c r="AA181" i="10" s="1"/>
  <c r="AF181" i="10" s="1"/>
  <c r="AJ181" i="10" s="1"/>
  <c r="Q178" i="10"/>
  <c r="Q81" i="10"/>
  <c r="Q155" i="10"/>
  <c r="R155" i="10" s="1"/>
  <c r="Q146" i="10"/>
  <c r="Z87" i="10"/>
  <c r="X132" i="10"/>
  <c r="AA95" i="10"/>
  <c r="AJ95" i="10" s="1"/>
  <c r="Z179" i="10"/>
  <c r="N116" i="10"/>
  <c r="AB116" i="10" s="1"/>
  <c r="AG116" i="10" s="1"/>
  <c r="AK116" i="10" s="1"/>
  <c r="K95" i="10"/>
  <c r="M141" i="10"/>
  <c r="Q141" i="10"/>
  <c r="D34" i="10"/>
  <c r="K55" i="14"/>
  <c r="K54" i="14" s="1"/>
  <c r="K53" i="14" s="1"/>
  <c r="K52" i="14" s="1"/>
  <c r="K51" i="14" s="1"/>
  <c r="K50" i="14" s="1"/>
  <c r="K49" i="14" s="1"/>
  <c r="AJ117" i="10"/>
  <c r="K82" i="10"/>
  <c r="AK88" i="10"/>
  <c r="K134" i="10"/>
  <c r="O152" i="10"/>
  <c r="AC152" i="10" s="1"/>
  <c r="AH152" i="10" s="1"/>
  <c r="AL152" i="10" s="1"/>
  <c r="N63" i="10"/>
  <c r="N67" i="10"/>
  <c r="N185" i="10"/>
  <c r="M142" i="10"/>
  <c r="AA142" i="10" s="1"/>
  <c r="AF142" i="10" s="1"/>
  <c r="AJ142" i="10" s="1"/>
  <c r="M172" i="10"/>
  <c r="AA172" i="10" s="1"/>
  <c r="AF172" i="10" s="1"/>
  <c r="AJ172" i="10" s="1"/>
  <c r="Q61" i="10"/>
  <c r="R61" i="10" s="1"/>
  <c r="Q115" i="10"/>
  <c r="Q72" i="10"/>
  <c r="Q114" i="10"/>
  <c r="X140" i="10"/>
  <c r="Y172" i="10"/>
  <c r="R169" i="10"/>
  <c r="H53" i="14"/>
  <c r="H52" i="14" s="1"/>
  <c r="H51" i="14" s="1"/>
  <c r="H50" i="14" s="1"/>
  <c r="H49" i="14" s="1"/>
  <c r="W141" i="10"/>
  <c r="AA141" i="10" s="1"/>
  <c r="AF141" i="10" s="1"/>
  <c r="AJ141" i="10" s="1"/>
  <c r="B11" i="10"/>
  <c r="N183" i="10"/>
  <c r="AB183" i="10" s="1"/>
  <c r="AG183" i="10" s="1"/>
  <c r="N119" i="10"/>
  <c r="S119" i="10" s="1"/>
  <c r="Q159" i="10"/>
  <c r="R159" i="10" s="1"/>
  <c r="Y107" i="10"/>
  <c r="D44" i="10"/>
  <c r="AJ134" i="10"/>
  <c r="K112" i="10"/>
  <c r="AK170" i="10"/>
  <c r="K127" i="10"/>
  <c r="O90" i="10"/>
  <c r="N64" i="10"/>
  <c r="N107" i="10"/>
  <c r="AB107" i="10" s="1"/>
  <c r="AG107" i="10" s="1"/>
  <c r="AK107" i="10" s="1"/>
  <c r="M174" i="10"/>
  <c r="M115" i="10"/>
  <c r="AA115" i="10" s="1"/>
  <c r="AF115" i="10" s="1"/>
  <c r="AJ115" i="10" s="1"/>
  <c r="O102" i="10"/>
  <c r="T102" i="10" s="1"/>
  <c r="Q120" i="10"/>
  <c r="Q147" i="10"/>
  <c r="Q80" i="10"/>
  <c r="S80" i="10" s="1"/>
  <c r="Q99" i="10"/>
  <c r="AB70" i="10"/>
  <c r="AG70" i="10" s="1"/>
  <c r="AK70" i="10" s="1"/>
  <c r="R150" i="10"/>
  <c r="K153" i="10"/>
  <c r="N83" i="10"/>
  <c r="S83" i="10" s="1"/>
  <c r="Z159" i="10"/>
  <c r="AJ185" i="10"/>
  <c r="N182" i="10"/>
  <c r="AB182" i="10" s="1"/>
  <c r="AG182" i="10" s="1"/>
  <c r="AK182" i="10" s="1"/>
  <c r="D40" i="10"/>
  <c r="K140" i="10"/>
  <c r="AK121" i="10"/>
  <c r="K125" i="10"/>
  <c r="O120" i="10"/>
  <c r="N147" i="10"/>
  <c r="M157" i="10"/>
  <c r="AA157" i="10" s="1"/>
  <c r="AF157" i="10" s="1"/>
  <c r="AJ157" i="10" s="1"/>
  <c r="M106" i="10"/>
  <c r="AA106" i="10" s="1"/>
  <c r="AF106" i="10" s="1"/>
  <c r="AJ106" i="10" s="1"/>
  <c r="O94" i="10"/>
  <c r="AC94" i="10" s="1"/>
  <c r="AH94" i="10" s="1"/>
  <c r="AL94" i="10" s="1"/>
  <c r="S90" i="10"/>
  <c r="Q117" i="10"/>
  <c r="Q89" i="10"/>
  <c r="Q94" i="10"/>
  <c r="S94" i="10" s="1"/>
  <c r="X179" i="10"/>
  <c r="Y150" i="10"/>
  <c r="AJ151" i="10"/>
  <c r="E41" i="17"/>
  <c r="Z112" i="10"/>
  <c r="AJ97" i="10"/>
  <c r="AA93" i="10"/>
  <c r="AJ93" i="10" s="1"/>
  <c r="O170" i="10"/>
  <c r="AC62" i="10"/>
  <c r="AH62" i="10" s="1"/>
  <c r="AL62" i="10" s="1"/>
  <c r="B199" i="10"/>
  <c r="K90" i="10"/>
  <c r="N68" i="10"/>
  <c r="S68" i="10" s="1"/>
  <c r="J55" i="14"/>
  <c r="J54" i="14" s="1"/>
  <c r="J53" i="14" s="1"/>
  <c r="J52" i="14" s="1"/>
  <c r="J51" i="14" s="1"/>
  <c r="J50" i="14" s="1"/>
  <c r="J49" i="14" s="1"/>
  <c r="D49" i="10"/>
  <c r="K159" i="10"/>
  <c r="K123" i="10"/>
  <c r="G11" i="14"/>
  <c r="O186" i="10"/>
  <c r="N71" i="10"/>
  <c r="AB71" i="10" s="1"/>
  <c r="AG71" i="10" s="1"/>
  <c r="AK71" i="10" s="1"/>
  <c r="N162" i="10"/>
  <c r="M176" i="10"/>
  <c r="AA176" i="10" s="1"/>
  <c r="AF176" i="10" s="1"/>
  <c r="AJ176" i="10" s="1"/>
  <c r="M131" i="10"/>
  <c r="AA131" i="10" s="1"/>
  <c r="AF131" i="10" s="1"/>
  <c r="AJ131" i="10" s="1"/>
  <c r="O97" i="10"/>
  <c r="AC97" i="10" s="1"/>
  <c r="AH97" i="10" s="1"/>
  <c r="AL97" i="10" s="1"/>
  <c r="O11" i="14"/>
  <c r="Q165" i="10"/>
  <c r="R165" i="10" s="1"/>
  <c r="Q110" i="10"/>
  <c r="R110" i="10" s="1"/>
  <c r="Q145" i="10"/>
  <c r="R145" i="10" s="1"/>
  <c r="Q133" i="10"/>
  <c r="Q97" i="10"/>
  <c r="X112" i="10"/>
  <c r="X153" i="10"/>
  <c r="Z158" i="10"/>
  <c r="AB118" i="10"/>
  <c r="AG118" i="10" s="1"/>
  <c r="AK118" i="10" s="1"/>
  <c r="AB151" i="10"/>
  <c r="AK151" i="10" s="1"/>
  <c r="AB98" i="10"/>
  <c r="AG98" i="10" s="1"/>
  <c r="AK98" i="10" s="1"/>
  <c r="AA66" i="10"/>
  <c r="AJ66" i="10" s="1"/>
  <c r="AB102" i="10"/>
  <c r="X164" i="10"/>
  <c r="K172" i="10"/>
  <c r="M103" i="10"/>
  <c r="AA103" i="10" s="1"/>
  <c r="AF103" i="10" s="1"/>
  <c r="AJ103" i="10" s="1"/>
  <c r="N184" i="10"/>
  <c r="AB184" i="10" s="1"/>
  <c r="AG184" i="10" s="1"/>
  <c r="AK184" i="10" s="1"/>
  <c r="AK74" i="10"/>
  <c r="M164" i="10"/>
  <c r="R164" i="10" s="1"/>
  <c r="AB158" i="10"/>
  <c r="AG158" i="10" s="1"/>
  <c r="AK158" i="10" s="1"/>
  <c r="D31" i="10"/>
  <c r="K146" i="10"/>
  <c r="K139" i="10"/>
  <c r="B8" i="28"/>
  <c r="O88" i="10"/>
  <c r="T88" i="10" s="1"/>
  <c r="N85" i="10"/>
  <c r="AB85" i="10" s="1"/>
  <c r="AG85" i="10" s="1"/>
  <c r="AK85" i="10" s="1"/>
  <c r="N145" i="10"/>
  <c r="AB145" i="10" s="1"/>
  <c r="AG145" i="10" s="1"/>
  <c r="M144" i="10"/>
  <c r="AA144" i="10" s="1"/>
  <c r="AF144" i="10" s="1"/>
  <c r="M177" i="10"/>
  <c r="O99" i="10"/>
  <c r="P11" i="14"/>
  <c r="B6" i="53" s="1"/>
  <c r="C18" i="53" s="1"/>
  <c r="Q162" i="10"/>
  <c r="Q168" i="10"/>
  <c r="Q131" i="10"/>
  <c r="Q154" i="10"/>
  <c r="Q93" i="10"/>
  <c r="X106" i="10"/>
  <c r="X148" i="10"/>
  <c r="AB148" i="10" s="1"/>
  <c r="AG148" i="10" s="1"/>
  <c r="AK148" i="10" s="1"/>
  <c r="T75" i="10"/>
  <c r="G52" i="14"/>
  <c r="G51" i="14" s="1"/>
  <c r="G50" i="14" s="1"/>
  <c r="G49" i="14" s="1"/>
  <c r="K142" i="10"/>
  <c r="O74" i="10"/>
  <c r="AC74" i="10" s="1"/>
  <c r="AH74" i="10" s="1"/>
  <c r="AL74" i="10" s="1"/>
  <c r="M139" i="10"/>
  <c r="R139" i="10" s="1"/>
  <c r="K89" i="10"/>
  <c r="K64" i="10"/>
  <c r="K158" i="10"/>
  <c r="O73" i="10"/>
  <c r="N150" i="10"/>
  <c r="S150" i="10" s="1"/>
  <c r="N109" i="10"/>
  <c r="AB109" i="10" s="1"/>
  <c r="AG109" i="10" s="1"/>
  <c r="AK109" i="10" s="1"/>
  <c r="M130" i="10"/>
  <c r="AA130" i="10" s="1"/>
  <c r="AF130" i="10" s="1"/>
  <c r="AJ130" i="10" s="1"/>
  <c r="M104" i="10"/>
  <c r="AA104" i="10" s="1"/>
  <c r="AF104" i="10" s="1"/>
  <c r="AJ104" i="10" s="1"/>
  <c r="N96" i="10"/>
  <c r="AB96" i="10" s="1"/>
  <c r="AG96" i="10" s="1"/>
  <c r="AK96" i="10" s="1"/>
  <c r="Q152" i="10"/>
  <c r="S152" i="10" s="1"/>
  <c r="Q127" i="10"/>
  <c r="R127" i="10" s="1"/>
  <c r="Q177" i="10"/>
  <c r="Q144" i="10"/>
  <c r="R144" i="10" s="1"/>
  <c r="Q91" i="10"/>
  <c r="AA67" i="10"/>
  <c r="AJ67" i="10" s="1"/>
  <c r="R156" i="10"/>
  <c r="D20" i="10"/>
  <c r="M154" i="10"/>
  <c r="AA154" i="10" s="1"/>
  <c r="AF154" i="10" s="1"/>
  <c r="AJ154" i="10" s="1"/>
  <c r="AA69" i="10"/>
  <c r="AJ69" i="10" s="1"/>
  <c r="AK187" i="10"/>
  <c r="M166" i="10"/>
  <c r="Q108" i="10"/>
  <c r="R108" i="10" s="1"/>
  <c r="AJ108" i="10"/>
  <c r="K160" i="10"/>
  <c r="K145" i="10"/>
  <c r="AK94" i="10"/>
  <c r="O122" i="10"/>
  <c r="T122" i="10" s="1"/>
  <c r="N69" i="10"/>
  <c r="AB69" i="10" s="1"/>
  <c r="AG69" i="10" s="1"/>
  <c r="AK69" i="10" s="1"/>
  <c r="N79" i="10"/>
  <c r="S79" i="10" s="1"/>
  <c r="M178" i="10"/>
  <c r="AA178" i="10" s="1"/>
  <c r="AF178" i="10" s="1"/>
  <c r="AJ178" i="10" s="1"/>
  <c r="M114" i="10"/>
  <c r="AA114" i="10" s="1"/>
  <c r="AF114" i="10" s="1"/>
  <c r="AJ114" i="10" s="1"/>
  <c r="N93" i="10"/>
  <c r="Q73" i="10"/>
  <c r="R73" i="10" s="1"/>
  <c r="Q163" i="10"/>
  <c r="Q121" i="10"/>
  <c r="Q92" i="10"/>
  <c r="AA88" i="10"/>
  <c r="AJ88" i="10" s="1"/>
  <c r="AA160" i="10"/>
  <c r="AF160" i="10" s="1"/>
  <c r="AJ160" i="10" s="1"/>
  <c r="X93" i="10"/>
  <c r="AB95" i="10"/>
  <c r="AG95" i="10" s="1"/>
  <c r="AK95" i="10" s="1"/>
  <c r="R153" i="10"/>
  <c r="AJ136" i="10"/>
  <c r="M133" i="10"/>
  <c r="M125" i="10"/>
  <c r="AJ170" i="10"/>
  <c r="AB163" i="10"/>
  <c r="AG163" i="10" s="1"/>
  <c r="AK163" i="10" s="1"/>
  <c r="D23" i="10"/>
  <c r="AK128" i="10"/>
  <c r="T151" i="10"/>
  <c r="M167" i="10"/>
  <c r="N60" i="10"/>
  <c r="D38" i="10"/>
  <c r="AJ64" i="10"/>
  <c r="K131" i="10"/>
  <c r="K124" i="10"/>
  <c r="N61" i="10"/>
  <c r="AB61" i="10" s="1"/>
  <c r="AG61" i="10" s="1"/>
  <c r="AK61" i="10" s="1"/>
  <c r="N65" i="10"/>
  <c r="M132" i="10"/>
  <c r="AA132" i="10" s="1"/>
  <c r="AF132" i="10" s="1"/>
  <c r="AJ132" i="10" s="1"/>
  <c r="Q66" i="10"/>
  <c r="R66" i="10" s="1"/>
  <c r="Q186" i="10"/>
  <c r="Q65" i="10"/>
  <c r="Q116" i="10"/>
  <c r="Q100" i="10"/>
  <c r="AA124" i="10"/>
  <c r="AF124" i="10" s="1"/>
  <c r="AJ124" i="10" s="1"/>
  <c r="AC170" i="10"/>
  <c r="AH170" i="10" s="1"/>
  <c r="AL170" i="10" s="1"/>
  <c r="Y93" i="10"/>
  <c r="AA94" i="10"/>
  <c r="AJ94" i="10" s="1"/>
  <c r="D4" i="17"/>
  <c r="C6" i="53"/>
  <c r="C16" i="26"/>
  <c r="C16" i="57"/>
  <c r="D16" i="10"/>
  <c r="C4" i="20"/>
  <c r="B27" i="20" s="1"/>
  <c r="R160" i="10"/>
  <c r="AB180" i="10"/>
  <c r="AG180" i="10" s="1"/>
  <c r="D10" i="57"/>
  <c r="G11" i="28"/>
  <c r="P61" i="14"/>
  <c r="N160" i="10"/>
  <c r="S160" i="10" s="1"/>
  <c r="N171" i="10"/>
  <c r="S171" i="10" s="1"/>
  <c r="N105" i="10"/>
  <c r="N141" i="10"/>
  <c r="N106" i="10"/>
  <c r="N139" i="10"/>
  <c r="AB139" i="10" s="1"/>
  <c r="N165" i="10"/>
  <c r="N123" i="10"/>
  <c r="N125" i="10"/>
  <c r="N167" i="10"/>
  <c r="AB167" i="10" s="1"/>
  <c r="N103" i="10"/>
  <c r="N164" i="10"/>
  <c r="N113" i="10"/>
  <c r="AB113" i="10" s="1"/>
  <c r="N130" i="10"/>
  <c r="AB130" i="10" s="1"/>
  <c r="AG130" i="10" s="1"/>
  <c r="N115" i="10"/>
  <c r="N104" i="10"/>
  <c r="AB104" i="10" s="1"/>
  <c r="AG104" i="10" s="1"/>
  <c r="N174" i="10"/>
  <c r="N175" i="10"/>
  <c r="AB175" i="10" s="1"/>
  <c r="N124" i="10"/>
  <c r="N166" i="10"/>
  <c r="N111" i="10"/>
  <c r="S111" i="10" s="1"/>
  <c r="N178" i="10"/>
  <c r="N142" i="10"/>
  <c r="N144" i="10"/>
  <c r="N154" i="10"/>
  <c r="N114" i="10"/>
  <c r="N133" i="10"/>
  <c r="S133" i="10" s="1"/>
  <c r="N157" i="10"/>
  <c r="AB157" i="10" s="1"/>
  <c r="N78" i="10"/>
  <c r="N112" i="10"/>
  <c r="N179" i="10"/>
  <c r="N156" i="10"/>
  <c r="N137" i="10"/>
  <c r="N143" i="10"/>
  <c r="N177" i="10"/>
  <c r="N172" i="10"/>
  <c r="AB172" i="10" s="1"/>
  <c r="AG172" i="10" s="1"/>
  <c r="N132" i="10"/>
  <c r="AB132" i="10" s="1"/>
  <c r="J98" i="10"/>
  <c r="J176" i="10"/>
  <c r="J99" i="10"/>
  <c r="J73" i="10"/>
  <c r="J63" i="10"/>
  <c r="J111" i="10"/>
  <c r="J129" i="10"/>
  <c r="J68" i="10"/>
  <c r="N140" i="10"/>
  <c r="D10" i="26"/>
  <c r="N131" i="10"/>
  <c r="N181" i="10"/>
  <c r="R187" i="10"/>
  <c r="T187" i="10"/>
  <c r="S187" i="10"/>
  <c r="AK102" i="10"/>
  <c r="B20" i="53"/>
  <c r="AA119" i="10"/>
  <c r="AJ119" i="10" s="1"/>
  <c r="R119" i="10"/>
  <c r="AC88" i="10"/>
  <c r="AH88" i="10" s="1"/>
  <c r="S145" i="10"/>
  <c r="AC99" i="10"/>
  <c r="AH99" i="10" s="1"/>
  <c r="K81" i="10"/>
  <c r="K85" i="10"/>
  <c r="K176" i="10"/>
  <c r="K98" i="10"/>
  <c r="K73" i="10"/>
  <c r="K99" i="10"/>
  <c r="K63" i="10"/>
  <c r="K111" i="10"/>
  <c r="K68" i="10"/>
  <c r="Y186" i="10"/>
  <c r="Z186" i="10"/>
  <c r="J96" i="10"/>
  <c r="J140" i="10"/>
  <c r="J157" i="10"/>
  <c r="J112" i="10"/>
  <c r="J86" i="10"/>
  <c r="J82" i="10"/>
  <c r="J62" i="10"/>
  <c r="J143" i="10"/>
  <c r="J162" i="10"/>
  <c r="J61" i="10"/>
  <c r="J120" i="10"/>
  <c r="J89" i="10"/>
  <c r="J146" i="10"/>
  <c r="J125" i="10"/>
  <c r="J172" i="10"/>
  <c r="J83" i="10"/>
  <c r="J114" i="10"/>
  <c r="J121" i="10"/>
  <c r="J184" i="10"/>
  <c r="J70" i="10"/>
  <c r="J148" i="10"/>
  <c r="J93" i="10"/>
  <c r="J180" i="10"/>
  <c r="J178" i="10"/>
  <c r="J142" i="10"/>
  <c r="J123" i="10"/>
  <c r="K19" i="28"/>
  <c r="K21" i="28"/>
  <c r="K23" i="28"/>
  <c r="K133" i="10"/>
  <c r="K185" i="10"/>
  <c r="K67" i="10"/>
  <c r="K72" i="10"/>
  <c r="K77" i="10"/>
  <c r="K136" i="10"/>
  <c r="K187" i="10"/>
  <c r="F12" i="57"/>
  <c r="F12" i="26"/>
  <c r="R63" i="14"/>
  <c r="I13" i="28"/>
  <c r="F12" i="10"/>
  <c r="R128" i="10"/>
  <c r="T128" i="10"/>
  <c r="S128" i="10"/>
  <c r="S101" i="10"/>
  <c r="R101" i="10"/>
  <c r="C48" i="20"/>
  <c r="C17" i="18"/>
  <c r="B48" i="28"/>
  <c r="C55" i="20"/>
  <c r="C26" i="21"/>
  <c r="D26" i="21" s="1"/>
  <c r="H6" i="7" s="1"/>
  <c r="H14" i="7" s="1"/>
  <c r="O14" i="7" s="1"/>
  <c r="C12" i="20"/>
  <c r="E43" i="17"/>
  <c r="B31" i="26"/>
  <c r="B36" i="26" s="1"/>
  <c r="S6" i="7" s="1"/>
  <c r="B220" i="10"/>
  <c r="H11" i="14"/>
  <c r="D49" i="14"/>
  <c r="B10" i="57"/>
  <c r="B11" i="28"/>
  <c r="R184" i="10"/>
  <c r="C20" i="21"/>
  <c r="C24" i="21" s="1"/>
  <c r="B29" i="53"/>
  <c r="B30" i="53" s="1"/>
  <c r="B31" i="53" s="1"/>
  <c r="B17" i="18"/>
  <c r="R136" i="10"/>
  <c r="B219" i="10"/>
  <c r="D17" i="18"/>
  <c r="C30" i="21"/>
  <c r="C29" i="53"/>
  <c r="C30" i="53" s="1"/>
  <c r="C31" i="53" s="1"/>
  <c r="C22" i="53"/>
  <c r="F43" i="17"/>
  <c r="D48" i="20"/>
  <c r="D12" i="20"/>
  <c r="AL89" i="10"/>
  <c r="D33" i="10"/>
  <c r="D25" i="10"/>
  <c r="B12" i="28"/>
  <c r="K83" i="10"/>
  <c r="K165" i="10"/>
  <c r="X81" i="10"/>
  <c r="AB81" i="10" s="1"/>
  <c r="AG81" i="10" s="1"/>
  <c r="Z81" i="10"/>
  <c r="Y81" i="10"/>
  <c r="AB127" i="10"/>
  <c r="AG127" i="10" s="1"/>
  <c r="R118" i="10"/>
  <c r="S118" i="10"/>
  <c r="R95" i="10"/>
  <c r="D43" i="10"/>
  <c r="D41" i="10"/>
  <c r="K75" i="10"/>
  <c r="K182" i="10"/>
  <c r="K122" i="10"/>
  <c r="Y122" i="10"/>
  <c r="AC122" i="10" s="1"/>
  <c r="AH122" i="10" s="1"/>
  <c r="Z122" i="10"/>
  <c r="W177" i="10"/>
  <c r="Z177" i="10"/>
  <c r="Y177" i="10"/>
  <c r="D50" i="10"/>
  <c r="B11" i="26"/>
  <c r="K87" i="10"/>
  <c r="K114" i="10"/>
  <c r="K144" i="10"/>
  <c r="AK101" i="10"/>
  <c r="AA182" i="10"/>
  <c r="AJ182" i="10" s="1"/>
  <c r="D24" i="10"/>
  <c r="D46" i="10"/>
  <c r="K178" i="10"/>
  <c r="K65" i="10"/>
  <c r="K76" i="10"/>
  <c r="C19" i="53"/>
  <c r="AA148" i="10"/>
  <c r="AJ148" i="10" s="1"/>
  <c r="B16" i="57"/>
  <c r="B16" i="26"/>
  <c r="C16" i="10"/>
  <c r="R70" i="10"/>
  <c r="S70" i="10"/>
  <c r="AA175" i="10"/>
  <c r="AF175" i="10" s="1"/>
  <c r="R174" i="10"/>
  <c r="B12" i="10"/>
  <c r="F5" i="6"/>
  <c r="G7" i="7"/>
  <c r="G15" i="7" s="1"/>
  <c r="G5" i="4"/>
  <c r="G8" i="7"/>
  <c r="G16" i="7" s="1"/>
  <c r="AA167" i="10"/>
  <c r="AF167" i="10" s="1"/>
  <c r="AA174" i="10"/>
  <c r="AF174" i="10" s="1"/>
  <c r="R63" i="10"/>
  <c r="S63" i="10"/>
  <c r="H43" i="17"/>
  <c r="F17" i="18"/>
  <c r="B221" i="10"/>
  <c r="F48" i="20"/>
  <c r="B32" i="26"/>
  <c r="B37" i="26" s="1"/>
  <c r="S7" i="7" s="1"/>
  <c r="Z160" i="10"/>
  <c r="X160" i="10"/>
  <c r="AB160" i="10" s="1"/>
  <c r="D41" i="17"/>
  <c r="B12" i="57"/>
  <c r="Q63" i="14"/>
  <c r="X63" i="10"/>
  <c r="AB63" i="10" s="1"/>
  <c r="AG63" i="10" s="1"/>
  <c r="Z63" i="10"/>
  <c r="Y63" i="10"/>
  <c r="AA147" i="10"/>
  <c r="AJ147" i="10" s="1"/>
  <c r="Z79" i="10"/>
  <c r="X79" i="10"/>
  <c r="AB79" i="10" s="1"/>
  <c r="AG79" i="10" s="1"/>
  <c r="Y79" i="10"/>
  <c r="B4" i="28"/>
  <c r="K186" i="10"/>
  <c r="K179" i="10"/>
  <c r="K93" i="10"/>
  <c r="D42" i="10"/>
  <c r="K173" i="10"/>
  <c r="K94" i="10"/>
  <c r="B206" i="10"/>
  <c r="B207" i="10" s="1"/>
  <c r="D22" i="10"/>
  <c r="D53" i="10"/>
  <c r="K105" i="10"/>
  <c r="K91" i="10"/>
  <c r="C28" i="21"/>
  <c r="D30" i="10"/>
  <c r="K148" i="10"/>
  <c r="S127" i="10"/>
  <c r="F12" i="20"/>
  <c r="D48" i="10"/>
  <c r="K184" i="10"/>
  <c r="K164" i="10"/>
  <c r="Z78" i="10"/>
  <c r="W78" i="10"/>
  <c r="AA78" i="10" s="1"/>
  <c r="AF78" i="10" s="1"/>
  <c r="Y78" i="10"/>
  <c r="X78" i="10"/>
  <c r="D45" i="10"/>
  <c r="B13" i="10"/>
  <c r="AC120" i="10"/>
  <c r="AH120" i="10" s="1"/>
  <c r="R121" i="10"/>
  <c r="S121" i="10"/>
  <c r="T121" i="10"/>
  <c r="W111" i="10"/>
  <c r="AA111" i="10" s="1"/>
  <c r="AF111" i="10" s="1"/>
  <c r="Z111" i="10"/>
  <c r="Y111" i="10"/>
  <c r="X111" i="10"/>
  <c r="AB111" i="10" s="1"/>
  <c r="Y169" i="10"/>
  <c r="X169" i="10"/>
  <c r="AB169" i="10" s="1"/>
  <c r="AG169" i="10" s="1"/>
  <c r="Z169" i="10"/>
  <c r="R84" i="10"/>
  <c r="Y119" i="10"/>
  <c r="S122" i="10"/>
  <c r="Q140" i="10"/>
  <c r="Q74" i="10"/>
  <c r="Q158" i="10"/>
  <c r="Q62" i="10"/>
  <c r="Q138" i="10"/>
  <c r="Q107" i="10"/>
  <c r="Z67" i="10"/>
  <c r="Y77" i="10"/>
  <c r="AC77" i="10" s="1"/>
  <c r="AH77" i="10" s="1"/>
  <c r="X65" i="10"/>
  <c r="AB65" i="10" s="1"/>
  <c r="AG65" i="10" s="1"/>
  <c r="Y102" i="10"/>
  <c r="AC102" i="10" s="1"/>
  <c r="AH102" i="10" s="1"/>
  <c r="Q176" i="10"/>
  <c r="Q175" i="10"/>
  <c r="Q86" i="10"/>
  <c r="Q130" i="10"/>
  <c r="Q157" i="10"/>
  <c r="Y105" i="10"/>
  <c r="Y141" i="10"/>
  <c r="Z164" i="10"/>
  <c r="Y61" i="10"/>
  <c r="Y64" i="10"/>
  <c r="Y66" i="10"/>
  <c r="Z61" i="10"/>
  <c r="Z97" i="10"/>
  <c r="Q173" i="10"/>
  <c r="Q67" i="10"/>
  <c r="Q132" i="10"/>
  <c r="Q167" i="10"/>
  <c r="Q104" i="10"/>
  <c r="S102" i="10"/>
  <c r="Z89" i="10"/>
  <c r="Q85" i="10"/>
  <c r="Q148" i="10"/>
  <c r="Q183" i="10"/>
  <c r="Z133" i="10"/>
  <c r="Z155" i="10"/>
  <c r="Z171" i="10"/>
  <c r="Z119" i="10"/>
  <c r="X64" i="10"/>
  <c r="AB64" i="10" s="1"/>
  <c r="AG64" i="10" s="1"/>
  <c r="W105" i="10"/>
  <c r="AA105" i="10" s="1"/>
  <c r="AF105" i="10" s="1"/>
  <c r="X162" i="10"/>
  <c r="Y98" i="10"/>
  <c r="Y100" i="10"/>
  <c r="Z94" i="10"/>
  <c r="X91" i="10"/>
  <c r="AB91" i="10" s="1"/>
  <c r="AG91" i="10" s="1"/>
  <c r="S73" i="10"/>
  <c r="Z66" i="10"/>
  <c r="Z141" i="10"/>
  <c r="Z91" i="10"/>
  <c r="W133" i="10"/>
  <c r="X171" i="10"/>
  <c r="Q106" i="10"/>
  <c r="Q69" i="10"/>
  <c r="Q182" i="10"/>
  <c r="Q113" i="10"/>
  <c r="Q78" i="10"/>
  <c r="Q172" i="10"/>
  <c r="Q96" i="10"/>
  <c r="X133" i="10"/>
  <c r="AB133" i="10" s="1"/>
  <c r="W164" i="10"/>
  <c r="W155" i="10"/>
  <c r="AA155" i="10" s="1"/>
  <c r="AF155" i="10" s="1"/>
  <c r="W171" i="10"/>
  <c r="AA171" i="10" s="1"/>
  <c r="AF171" i="10" s="1"/>
  <c r="S76" i="10"/>
  <c r="B17" i="21"/>
  <c r="Q109" i="10"/>
  <c r="Q134" i="10"/>
  <c r="Q129" i="10"/>
  <c r="Q149" i="10"/>
  <c r="E42" i="17" l="1"/>
  <c r="S147" i="10"/>
  <c r="AB171" i="10"/>
  <c r="B18" i="53"/>
  <c r="B4" i="20"/>
  <c r="C11" i="20" s="1"/>
  <c r="C4" i="17"/>
  <c r="AA139" i="10"/>
  <c r="AF139" i="10" s="1"/>
  <c r="AA177" i="10"/>
  <c r="AF177" i="10" s="1"/>
  <c r="AG113" i="10"/>
  <c r="AB93" i="10"/>
  <c r="AG93" i="10" s="1"/>
  <c r="AK93" i="10" s="1"/>
  <c r="R181" i="10"/>
  <c r="S108" i="10"/>
  <c r="AG176" i="10"/>
  <c r="AK176" i="10" s="1"/>
  <c r="AB153" i="10"/>
  <c r="AG153" i="10" s="1"/>
  <c r="AK153" i="10" s="1"/>
  <c r="AA123" i="10"/>
  <c r="AF123" i="10" s="1"/>
  <c r="AJ123" i="10" s="1"/>
  <c r="R142" i="10"/>
  <c r="AB119" i="10"/>
  <c r="AG119" i="10" s="1"/>
  <c r="AK119" i="10" s="1"/>
  <c r="S155" i="10"/>
  <c r="AG129" i="10"/>
  <c r="AK129" i="10" s="1"/>
  <c r="AB138" i="10"/>
  <c r="AG138" i="10" s="1"/>
  <c r="AK138" i="10" s="1"/>
  <c r="AB84" i="10"/>
  <c r="AG84" i="10" s="1"/>
  <c r="AK84" i="10" s="1"/>
  <c r="R112" i="10"/>
  <c r="AJ161" i="10"/>
  <c r="AG161" i="10"/>
  <c r="AK161" i="10" s="1"/>
  <c r="R100" i="10"/>
  <c r="S100" i="10"/>
  <c r="AA164" i="10"/>
  <c r="AF164" i="10" s="1"/>
  <c r="AB126" i="10"/>
  <c r="AG126" i="10" s="1"/>
  <c r="AK126" i="10" s="1"/>
  <c r="R161" i="10"/>
  <c r="S161" i="10"/>
  <c r="R154" i="10"/>
  <c r="T94" i="10"/>
  <c r="S64" i="10"/>
  <c r="S61" i="10"/>
  <c r="R94" i="10"/>
  <c r="AC90" i="10"/>
  <c r="AH90" i="10" s="1"/>
  <c r="AL90" i="10" s="1"/>
  <c r="T90" i="10"/>
  <c r="AA125" i="10"/>
  <c r="AF125" i="10" s="1"/>
  <c r="AJ125" i="10" s="1"/>
  <c r="R125" i="10"/>
  <c r="R120" i="10"/>
  <c r="S120" i="10"/>
  <c r="R146" i="10"/>
  <c r="S146" i="10"/>
  <c r="O60" i="14"/>
  <c r="F10" i="28"/>
  <c r="T152" i="10"/>
  <c r="S82" i="10"/>
  <c r="R152" i="10"/>
  <c r="S184" i="10"/>
  <c r="R114" i="10"/>
  <c r="S185" i="10"/>
  <c r="AB185" i="10"/>
  <c r="AG185" i="10" s="1"/>
  <c r="AK185" i="10" s="1"/>
  <c r="R81" i="10"/>
  <c r="S81" i="10"/>
  <c r="S71" i="10"/>
  <c r="AB67" i="10"/>
  <c r="AG67" i="10" s="1"/>
  <c r="AK67" i="10" s="1"/>
  <c r="R65" i="10"/>
  <c r="S65" i="10"/>
  <c r="S136" i="10"/>
  <c r="R162" i="10"/>
  <c r="S162" i="10"/>
  <c r="B21" i="53"/>
  <c r="B18" i="18" s="1"/>
  <c r="S153" i="10"/>
  <c r="AG157" i="10"/>
  <c r="AK157" i="10" s="1"/>
  <c r="R177" i="10"/>
  <c r="R178" i="10"/>
  <c r="B16" i="10"/>
  <c r="B200" i="10" s="1"/>
  <c r="B4" i="17"/>
  <c r="AG132" i="10"/>
  <c r="J132" i="10"/>
  <c r="J135" i="10"/>
  <c r="R116" i="10"/>
  <c r="S116" i="10"/>
  <c r="R76" i="10"/>
  <c r="T76" i="10"/>
  <c r="R131" i="10"/>
  <c r="AB155" i="10"/>
  <c r="T73" i="10"/>
  <c r="S87" i="10"/>
  <c r="AB150" i="10"/>
  <c r="AG150" i="10" s="1"/>
  <c r="AK150" i="10" s="1"/>
  <c r="S92" i="10"/>
  <c r="R92" i="10"/>
  <c r="R115" i="10"/>
  <c r="S66" i="10"/>
  <c r="AG160" i="10"/>
  <c r="AB140" i="10"/>
  <c r="AG140" i="10" s="1"/>
  <c r="J131" i="10"/>
  <c r="J109" i="10"/>
  <c r="J87" i="10"/>
  <c r="J145" i="10"/>
  <c r="J153" i="10"/>
  <c r="J91" i="10"/>
  <c r="J174" i="10"/>
  <c r="J94" i="10"/>
  <c r="J126" i="10"/>
  <c r="J134" i="10"/>
  <c r="J158" i="10"/>
  <c r="J171" i="10"/>
  <c r="J90" i="10"/>
  <c r="J182" i="10"/>
  <c r="J139" i="10"/>
  <c r="J75" i="10"/>
  <c r="J105" i="10"/>
  <c r="J173" i="10"/>
  <c r="J186" i="10"/>
  <c r="J127" i="10"/>
  <c r="J156" i="10"/>
  <c r="J65" i="10"/>
  <c r="J151" i="10"/>
  <c r="J118" i="10"/>
  <c r="J128" i="10"/>
  <c r="T170" i="10"/>
  <c r="S170" i="10"/>
  <c r="R170" i="10"/>
  <c r="R141" i="10"/>
  <c r="R99" i="10"/>
  <c r="S99" i="10"/>
  <c r="R93" i="10"/>
  <c r="S93" i="10"/>
  <c r="R72" i="10"/>
  <c r="S72" i="10"/>
  <c r="T120" i="10"/>
  <c r="AB106" i="10"/>
  <c r="AG106" i="10" s="1"/>
  <c r="AK106" i="10" s="1"/>
  <c r="T99" i="10"/>
  <c r="S97" i="10"/>
  <c r="R97" i="10"/>
  <c r="T97" i="10"/>
  <c r="S159" i="10"/>
  <c r="AC73" i="10"/>
  <c r="AH73" i="10" s="1"/>
  <c r="AL73" i="10" s="1"/>
  <c r="AC186" i="10"/>
  <c r="AH186" i="10" s="1"/>
  <c r="R91" i="10"/>
  <c r="S91" i="10"/>
  <c r="R103" i="10"/>
  <c r="R168" i="10"/>
  <c r="S168" i="10"/>
  <c r="AB60" i="10"/>
  <c r="AG60" i="10" s="1"/>
  <c r="AK60" i="10" s="1"/>
  <c r="S60" i="10"/>
  <c r="R80" i="10"/>
  <c r="J88" i="10"/>
  <c r="J85" i="10"/>
  <c r="J81" i="10"/>
  <c r="R133" i="10"/>
  <c r="S110" i="10"/>
  <c r="AA166" i="10"/>
  <c r="AF166" i="10" s="1"/>
  <c r="AJ166" i="10" s="1"/>
  <c r="R166" i="10"/>
  <c r="T89" i="10"/>
  <c r="S89" i="10"/>
  <c r="K29" i="28"/>
  <c r="K24" i="28"/>
  <c r="K26" i="28"/>
  <c r="K20" i="28"/>
  <c r="K22" i="28"/>
  <c r="K28" i="28"/>
  <c r="K30" i="28"/>
  <c r="K18" i="28"/>
  <c r="K31" i="28" s="1"/>
  <c r="B35" i="28" s="1"/>
  <c r="AB162" i="10"/>
  <c r="AG162" i="10" s="1"/>
  <c r="R163" i="10"/>
  <c r="S163" i="10"/>
  <c r="AB147" i="10"/>
  <c r="AG147" i="10" s="1"/>
  <c r="AK147" i="10" s="1"/>
  <c r="R89" i="10"/>
  <c r="AB68" i="10"/>
  <c r="AG68" i="10" s="1"/>
  <c r="S14" i="7"/>
  <c r="N58" i="14"/>
  <c r="N57" i="14" s="1"/>
  <c r="N56" i="14" s="1"/>
  <c r="N55" i="14" s="1"/>
  <c r="N54" i="14" s="1"/>
  <c r="N53" i="14" s="1"/>
  <c r="N52" i="14" s="1"/>
  <c r="N51" i="14" s="1"/>
  <c r="N50" i="14" s="1"/>
  <c r="N49" i="14" s="1"/>
  <c r="R135" i="10"/>
  <c r="S135" i="10"/>
  <c r="R117" i="10"/>
  <c r="S117" i="10"/>
  <c r="R186" i="10"/>
  <c r="T186" i="10"/>
  <c r="S186" i="10"/>
  <c r="AA133" i="10"/>
  <c r="AF133" i="10" s="1"/>
  <c r="R147" i="10"/>
  <c r="K27" i="28"/>
  <c r="C20" i="53"/>
  <c r="C21" i="53" s="1"/>
  <c r="K25" i="28"/>
  <c r="AB83" i="10"/>
  <c r="AG83" i="10" s="1"/>
  <c r="AK83" i="10" s="1"/>
  <c r="J97" i="10"/>
  <c r="J74" i="10"/>
  <c r="J95" i="10"/>
  <c r="J154" i="10"/>
  <c r="J159" i="10"/>
  <c r="J107" i="10"/>
  <c r="J69" i="10"/>
  <c r="J175" i="10"/>
  <c r="J64" i="10"/>
  <c r="J161" i="10"/>
  <c r="J103" i="10"/>
  <c r="J160" i="10"/>
  <c r="J149" i="10"/>
  <c r="J163" i="10"/>
  <c r="J116" i="10"/>
  <c r="J60" i="10"/>
  <c r="C22" i="18"/>
  <c r="C14" i="20"/>
  <c r="U6" i="7" s="1"/>
  <c r="U14" i="7" s="1"/>
  <c r="AB179" i="10"/>
  <c r="AG179" i="10" s="1"/>
  <c r="S179" i="10"/>
  <c r="R106" i="10"/>
  <c r="S106" i="10"/>
  <c r="R148" i="10"/>
  <c r="S148" i="10"/>
  <c r="B30" i="21"/>
  <c r="D30" i="21" s="1"/>
  <c r="H8" i="7" s="1"/>
  <c r="H16" i="7" s="1"/>
  <c r="O16" i="7" s="1"/>
  <c r="AK68" i="10"/>
  <c r="AL122" i="10"/>
  <c r="I12" i="28"/>
  <c r="F11" i="10"/>
  <c r="F11" i="26"/>
  <c r="F11" i="57"/>
  <c r="R62" i="14"/>
  <c r="AB112" i="10"/>
  <c r="AG112" i="10" s="1"/>
  <c r="S112" i="10"/>
  <c r="AB123" i="10"/>
  <c r="AG123" i="10" s="1"/>
  <c r="S123" i="10"/>
  <c r="AK180" i="10"/>
  <c r="AJ139" i="10"/>
  <c r="AG139" i="10"/>
  <c r="F469" i="6"/>
  <c r="F468" i="6"/>
  <c r="F285" i="6"/>
  <c r="F455" i="6"/>
  <c r="F77" i="6"/>
  <c r="F528" i="6"/>
  <c r="F273" i="6"/>
  <c r="F288" i="6"/>
  <c r="F407" i="6"/>
  <c r="F483" i="6"/>
  <c r="F255" i="6"/>
  <c r="F217" i="6"/>
  <c r="F90" i="6"/>
  <c r="F165" i="6"/>
  <c r="F82" i="6"/>
  <c r="F542" i="6"/>
  <c r="F532" i="6"/>
  <c r="F320" i="6"/>
  <c r="F166" i="6"/>
  <c r="F515" i="6"/>
  <c r="F423" i="6"/>
  <c r="F247" i="6"/>
  <c r="F303" i="6"/>
  <c r="F403" i="6"/>
  <c r="F120" i="6"/>
  <c r="F278" i="6"/>
  <c r="F452" i="6"/>
  <c r="F310" i="6"/>
  <c r="F504" i="6"/>
  <c r="F97" i="6"/>
  <c r="F156" i="6"/>
  <c r="F71" i="6"/>
  <c r="F143" i="6"/>
  <c r="F349" i="6"/>
  <c r="F275" i="6"/>
  <c r="F377" i="6"/>
  <c r="F366" i="6"/>
  <c r="F272" i="6"/>
  <c r="F135" i="6"/>
  <c r="F526" i="6"/>
  <c r="F308" i="6"/>
  <c r="F162" i="6"/>
  <c r="F513" i="6"/>
  <c r="F393" i="6"/>
  <c r="F239" i="6"/>
  <c r="F73" i="6"/>
  <c r="F429" i="6"/>
  <c r="F74" i="6"/>
  <c r="F113" i="6"/>
  <c r="F186" i="6"/>
  <c r="F555" i="6"/>
  <c r="F8" i="6"/>
  <c r="F53" i="6"/>
  <c r="F114" i="6"/>
  <c r="F276" i="6"/>
  <c r="F69" i="6"/>
  <c r="F289" i="6"/>
  <c r="F412" i="6"/>
  <c r="F141" i="6"/>
  <c r="F201" i="6"/>
  <c r="F462" i="6"/>
  <c r="F294" i="6"/>
  <c r="F518" i="6"/>
  <c r="F298" i="6"/>
  <c r="F160" i="6"/>
  <c r="F511" i="6"/>
  <c r="F387" i="6"/>
  <c r="F233" i="6"/>
  <c r="F158" i="6"/>
  <c r="F118" i="6"/>
  <c r="F316" i="6"/>
  <c r="F418" i="6"/>
  <c r="F405" i="6"/>
  <c r="F227" i="6"/>
  <c r="F257" i="6"/>
  <c r="F243" i="6"/>
  <c r="F178" i="6"/>
  <c r="F361" i="6"/>
  <c r="F263" i="6"/>
  <c r="F367" i="6"/>
  <c r="F123" i="6"/>
  <c r="F461" i="6"/>
  <c r="F332" i="6"/>
  <c r="F172" i="6"/>
  <c r="F363" i="6"/>
  <c r="F514" i="6"/>
  <c r="F266" i="6"/>
  <c r="F154" i="6"/>
  <c r="F509" i="6"/>
  <c r="F383" i="6"/>
  <c r="F231" i="6"/>
  <c r="F159" i="6"/>
  <c r="F372" i="6"/>
  <c r="F256" i="6"/>
  <c r="F88" i="6"/>
  <c r="F65" i="6"/>
  <c r="F409" i="6"/>
  <c r="F370" i="6"/>
  <c r="F373" i="6"/>
  <c r="F295" i="6"/>
  <c r="F153" i="6"/>
  <c r="F66" i="6"/>
  <c r="F346" i="6"/>
  <c r="F116" i="6"/>
  <c r="F421" i="6"/>
  <c r="F268" i="6"/>
  <c r="F170" i="6"/>
  <c r="F311" i="6"/>
  <c r="F506" i="6"/>
  <c r="F262" i="6"/>
  <c r="F152" i="6"/>
  <c r="F507" i="6"/>
  <c r="F379" i="6"/>
  <c r="F225" i="6"/>
  <c r="F329" i="6"/>
  <c r="F365" i="6"/>
  <c r="F242" i="6"/>
  <c r="F442" i="6"/>
  <c r="F183" i="6"/>
  <c r="F58" i="6"/>
  <c r="F522" i="6"/>
  <c r="F541" i="6"/>
  <c r="F390" i="6"/>
  <c r="F169" i="6"/>
  <c r="F38" i="6"/>
  <c r="F314" i="6"/>
  <c r="F214" i="6"/>
  <c r="F218" i="6"/>
  <c r="F46" i="6"/>
  <c r="F56" i="6"/>
  <c r="F533" i="6"/>
  <c r="F502" i="6"/>
  <c r="F260" i="6"/>
  <c r="F150" i="6"/>
  <c r="F505" i="6"/>
  <c r="F369" i="6"/>
  <c r="F195" i="6"/>
  <c r="F121" i="6"/>
  <c r="F482" i="6"/>
  <c r="F362" i="6"/>
  <c r="F45" i="6"/>
  <c r="F444" i="6"/>
  <c r="F290" i="6"/>
  <c r="F37" i="6"/>
  <c r="F168" i="6"/>
  <c r="F463" i="6"/>
  <c r="F167" i="6"/>
  <c r="F264" i="6"/>
  <c r="F284" i="6"/>
  <c r="F250" i="6"/>
  <c r="F188" i="6"/>
  <c r="F417" i="6"/>
  <c r="F411" i="6"/>
  <c r="F36" i="6"/>
  <c r="F498" i="6"/>
  <c r="F258" i="6"/>
  <c r="F138" i="6"/>
  <c r="F503" i="6"/>
  <c r="F345" i="6"/>
  <c r="F177" i="6"/>
  <c r="F13" i="6"/>
  <c r="F44" i="6"/>
  <c r="F72" i="6"/>
  <c r="F180" i="6"/>
  <c r="F376" i="6"/>
  <c r="F144" i="6"/>
  <c r="F353" i="6"/>
  <c r="F127" i="6"/>
  <c r="F94" i="6"/>
  <c r="F110" i="6"/>
  <c r="F24" i="6"/>
  <c r="F54" i="6"/>
  <c r="F401" i="6"/>
  <c r="F358" i="6"/>
  <c r="F508" i="6"/>
  <c r="F59" i="6"/>
  <c r="F385" i="6"/>
  <c r="F494" i="6"/>
  <c r="F248" i="6"/>
  <c r="F136" i="6"/>
  <c r="F501" i="6"/>
  <c r="F339" i="6"/>
  <c r="F175" i="6"/>
  <c r="F464" i="6"/>
  <c r="F304" i="6"/>
  <c r="F556" i="6"/>
  <c r="F388" i="6"/>
  <c r="F398" i="6"/>
  <c r="F252" i="6"/>
  <c r="F42" i="6"/>
  <c r="F51" i="6"/>
  <c r="F282" i="6"/>
  <c r="F25" i="6"/>
  <c r="F553" i="6"/>
  <c r="F14" i="6"/>
  <c r="F450" i="6"/>
  <c r="F301" i="6"/>
  <c r="F524" i="6"/>
  <c r="F413" i="6"/>
  <c r="F235" i="6"/>
  <c r="F486" i="6"/>
  <c r="F240" i="6"/>
  <c r="F134" i="6"/>
  <c r="F499" i="6"/>
  <c r="F335" i="6"/>
  <c r="F163" i="6"/>
  <c r="F552" i="6"/>
  <c r="F140" i="6"/>
  <c r="F484" i="6"/>
  <c r="F132" i="6"/>
  <c r="F283" i="6"/>
  <c r="F61" i="6"/>
  <c r="F265" i="6"/>
  <c r="F105" i="6"/>
  <c r="F76" i="6"/>
  <c r="F23" i="6"/>
  <c r="F26" i="6"/>
  <c r="F396" i="6"/>
  <c r="F414" i="6"/>
  <c r="F246" i="6"/>
  <c r="F15" i="6"/>
  <c r="F348" i="6"/>
  <c r="F223" i="6"/>
  <c r="F478" i="6"/>
  <c r="F238" i="6"/>
  <c r="F130" i="6"/>
  <c r="F497" i="6"/>
  <c r="F333" i="6"/>
  <c r="F161" i="6"/>
  <c r="F83" i="6"/>
  <c r="F210" i="6"/>
  <c r="F424" i="6"/>
  <c r="F221" i="6"/>
  <c r="F7" i="6"/>
  <c r="F102" i="6"/>
  <c r="F406" i="6"/>
  <c r="F447" i="6"/>
  <c r="F21" i="6"/>
  <c r="F78" i="6"/>
  <c r="F29" i="6"/>
  <c r="F67" i="6"/>
  <c r="F64" i="6"/>
  <c r="F439" i="6"/>
  <c r="F9" i="6"/>
  <c r="F151" i="6"/>
  <c r="F474" i="6"/>
  <c r="F236" i="6"/>
  <c r="F124" i="6"/>
  <c r="F495" i="6"/>
  <c r="F323" i="6"/>
  <c r="F157" i="6"/>
  <c r="F101" i="6"/>
  <c r="F155" i="6"/>
  <c r="F381" i="6"/>
  <c r="F315" i="6"/>
  <c r="F31" i="6"/>
  <c r="F196" i="6"/>
  <c r="F222" i="6"/>
  <c r="F426" i="6"/>
  <c r="F40" i="6"/>
  <c r="F237" i="6"/>
  <c r="F531" i="6"/>
  <c r="F35" i="6"/>
  <c r="F173" i="6"/>
  <c r="F286" i="6"/>
  <c r="F103" i="6"/>
  <c r="F89" i="6"/>
  <c r="F470" i="6"/>
  <c r="F234" i="6"/>
  <c r="F108" i="6"/>
  <c r="F493" i="6"/>
  <c r="F309" i="6"/>
  <c r="F149" i="6"/>
  <c r="F350" i="6"/>
  <c r="F313" i="6"/>
  <c r="F391" i="6"/>
  <c r="F548" i="6"/>
  <c r="F93" i="6"/>
  <c r="F496" i="6"/>
  <c r="F430" i="6"/>
  <c r="F420" i="6"/>
  <c r="F342" i="6"/>
  <c r="F440" i="6"/>
  <c r="F96" i="6"/>
  <c r="F297" i="6"/>
  <c r="F68" i="6"/>
  <c r="F368" i="6"/>
  <c r="F467" i="6"/>
  <c r="F182" i="6"/>
  <c r="F270" i="6"/>
  <c r="F534" i="6"/>
  <c r="F404" i="6"/>
  <c r="F492" i="6"/>
  <c r="F269" i="6"/>
  <c r="F331" i="6"/>
  <c r="F181" i="6"/>
  <c r="F438" i="6"/>
  <c r="F86" i="6"/>
  <c r="F293" i="6"/>
  <c r="F321" i="6"/>
  <c r="F458" i="6"/>
  <c r="F530" i="6"/>
  <c r="F544" i="6"/>
  <c r="F488" i="6"/>
  <c r="F536" i="6"/>
  <c r="F399" i="6"/>
  <c r="F55" i="6"/>
  <c r="F436" i="6"/>
  <c r="F84" i="6"/>
  <c r="F287" i="6"/>
  <c r="F57" i="6"/>
  <c r="F203" i="6"/>
  <c r="F397" i="6"/>
  <c r="F325" i="6"/>
  <c r="F10" i="6"/>
  <c r="F115" i="6"/>
  <c r="F520" i="6"/>
  <c r="F43" i="6"/>
  <c r="F375" i="6"/>
  <c r="F538" i="6"/>
  <c r="F400" i="6"/>
  <c r="F80" i="6"/>
  <c r="F279" i="6"/>
  <c r="F18" i="6"/>
  <c r="F107" i="6"/>
  <c r="F34" i="6"/>
  <c r="F199" i="6"/>
  <c r="F354" i="6"/>
  <c r="F185" i="6"/>
  <c r="F274" i="6"/>
  <c r="F446" i="6"/>
  <c r="F386" i="6"/>
  <c r="F529" i="6"/>
  <c r="F271" i="6"/>
  <c r="F327" i="6"/>
  <c r="F471" i="6"/>
  <c r="F443" i="6"/>
  <c r="F205" i="6"/>
  <c r="F32" i="6"/>
  <c r="F207" i="6"/>
  <c r="F551" i="6"/>
  <c r="F219" i="6"/>
  <c r="F206" i="6"/>
  <c r="F244" i="6"/>
  <c r="F382" i="6"/>
  <c r="F527" i="6"/>
  <c r="F267" i="6"/>
  <c r="F441" i="6"/>
  <c r="F104" i="6"/>
  <c r="F213" i="6"/>
  <c r="F410" i="6"/>
  <c r="F208" i="6"/>
  <c r="F22" i="6"/>
  <c r="F47" i="6"/>
  <c r="F99" i="6"/>
  <c r="F416" i="6"/>
  <c r="F197" i="6"/>
  <c r="F317" i="6"/>
  <c r="F380" i="6"/>
  <c r="F525" i="6"/>
  <c r="F261" i="6"/>
  <c r="F145" i="6"/>
  <c r="F212" i="6"/>
  <c r="F48" i="6"/>
  <c r="F16" i="6"/>
  <c r="F193" i="6"/>
  <c r="F28" i="6"/>
  <c r="F456" i="6"/>
  <c r="F389" i="6"/>
  <c r="F537" i="6"/>
  <c r="F360" i="6"/>
  <c r="F523" i="6"/>
  <c r="F259" i="6"/>
  <c r="F147" i="6"/>
  <c r="F435" i="6"/>
  <c r="F341" i="6"/>
  <c r="F549" i="6"/>
  <c r="F408" i="6"/>
  <c r="F41" i="6"/>
  <c r="F254" i="6"/>
  <c r="F419" i="6"/>
  <c r="F392" i="6"/>
  <c r="F338" i="6"/>
  <c r="F521" i="6"/>
  <c r="F253" i="6"/>
  <c r="F460" i="6"/>
  <c r="F326" i="6"/>
  <c r="F415" i="6"/>
  <c r="F425" i="6"/>
  <c r="F547" i="6"/>
  <c r="F62" i="6"/>
  <c r="F30" i="6"/>
  <c r="F457" i="6"/>
  <c r="F60" i="6"/>
  <c r="F215" i="6"/>
  <c r="F328" i="6"/>
  <c r="F519" i="6"/>
  <c r="F251" i="6"/>
  <c r="F63" i="6"/>
  <c r="F299" i="6"/>
  <c r="F545" i="6"/>
  <c r="F187" i="6"/>
  <c r="F394" i="6"/>
  <c r="F50" i="6"/>
  <c r="F359" i="6"/>
  <c r="F179" i="6"/>
  <c r="F322" i="6"/>
  <c r="F517" i="6"/>
  <c r="F249" i="6"/>
  <c r="F351" i="6"/>
  <c r="F291" i="6"/>
  <c r="F85" i="6"/>
  <c r="F352" i="6"/>
  <c r="F100" i="6"/>
  <c r="F402" i="6"/>
  <c r="F228" i="6"/>
  <c r="F481" i="6"/>
  <c r="F192" i="6"/>
  <c r="F191" i="6"/>
  <c r="F480" i="6"/>
  <c r="F230" i="6"/>
  <c r="F491" i="6"/>
  <c r="F139" i="6"/>
  <c r="F11" i="6"/>
  <c r="F280" i="6"/>
  <c r="F87" i="6"/>
  <c r="F27" i="6"/>
  <c r="F75" i="6"/>
  <c r="F109" i="6"/>
  <c r="F232" i="6"/>
  <c r="F106" i="6"/>
  <c r="F277" i="6"/>
  <c r="F344" i="6"/>
  <c r="F543" i="6"/>
  <c r="F476" i="6"/>
  <c r="F226" i="6"/>
  <c r="F489" i="6"/>
  <c r="F137" i="6"/>
  <c r="F306" i="6"/>
  <c r="F190" i="6"/>
  <c r="F33" i="6"/>
  <c r="F337" i="6"/>
  <c r="F364" i="6"/>
  <c r="F292" i="6"/>
  <c r="F126" i="6"/>
  <c r="F357" i="6"/>
  <c r="F148" i="6"/>
  <c r="F229" i="6"/>
  <c r="F540" i="6"/>
  <c r="F472" i="6"/>
  <c r="F224" i="6"/>
  <c r="F487" i="6"/>
  <c r="F131" i="6"/>
  <c r="F449" i="6"/>
  <c r="F434" i="6"/>
  <c r="F347" i="6"/>
  <c r="F355" i="6"/>
  <c r="F324" i="6"/>
  <c r="F319" i="6"/>
  <c r="F209" i="6"/>
  <c r="F300" i="6"/>
  <c r="F432" i="6"/>
  <c r="F220" i="6"/>
  <c r="F485" i="6"/>
  <c r="F125" i="6"/>
  <c r="F70" i="6"/>
  <c r="F428" i="6"/>
  <c r="F129" i="6"/>
  <c r="F91" i="6"/>
  <c r="F200" i="6"/>
  <c r="F133" i="6"/>
  <c r="F466" i="6"/>
  <c r="F189" i="6"/>
  <c r="F330" i="6"/>
  <c r="F92" i="6"/>
  <c r="F445" i="6"/>
  <c r="F437" i="6"/>
  <c r="F198" i="6"/>
  <c r="F318" i="6"/>
  <c r="F384" i="6"/>
  <c r="F204" i="6"/>
  <c r="F479" i="6"/>
  <c r="F119" i="6"/>
  <c r="F81" i="6"/>
  <c r="F128" i="6"/>
  <c r="F374" i="6"/>
  <c r="F395" i="6"/>
  <c r="F52" i="6"/>
  <c r="F433" i="6"/>
  <c r="F281" i="6"/>
  <c r="F500" i="6"/>
  <c r="F378" i="6"/>
  <c r="F202" i="6"/>
  <c r="F477" i="6"/>
  <c r="F117" i="6"/>
  <c r="F122" i="6"/>
  <c r="F39" i="6"/>
  <c r="F146" i="6"/>
  <c r="F312" i="6"/>
  <c r="F112" i="6"/>
  <c r="F459" i="6"/>
  <c r="F356" i="6"/>
  <c r="F20" i="6"/>
  <c r="F510" i="6"/>
  <c r="F334" i="6"/>
  <c r="F194" i="6"/>
  <c r="F475" i="6"/>
  <c r="F111" i="6"/>
  <c r="F340" i="6"/>
  <c r="F17" i="6"/>
  <c r="F448" i="6"/>
  <c r="F422" i="6"/>
  <c r="F296" i="6"/>
  <c r="F343" i="6"/>
  <c r="F142" i="6"/>
  <c r="F305" i="6"/>
  <c r="F550" i="6"/>
  <c r="F176" i="6"/>
  <c r="F431" i="6"/>
  <c r="F79" i="6"/>
  <c r="F302" i="6"/>
  <c r="F49" i="6"/>
  <c r="F19" i="6"/>
  <c r="F473" i="6"/>
  <c r="F95" i="6"/>
  <c r="F184" i="6"/>
  <c r="F465" i="6"/>
  <c r="F371" i="6"/>
  <c r="F216" i="6"/>
  <c r="F554" i="6"/>
  <c r="F211" i="6"/>
  <c r="F490" i="6"/>
  <c r="F241" i="6"/>
  <c r="F453" i="6"/>
  <c r="F546" i="6"/>
  <c r="F174" i="6"/>
  <c r="F427" i="6"/>
  <c r="F171" i="6"/>
  <c r="F557" i="6"/>
  <c r="F245" i="6"/>
  <c r="F164" i="6"/>
  <c r="F12" i="6"/>
  <c r="F539" i="6"/>
  <c r="F512" i="6"/>
  <c r="F516" i="6"/>
  <c r="F451" i="6"/>
  <c r="F336" i="6"/>
  <c r="F454" i="6"/>
  <c r="F98" i="6"/>
  <c r="F307" i="6"/>
  <c r="F535" i="6"/>
  <c r="AJ78" i="10"/>
  <c r="J92" i="10"/>
  <c r="J124" i="10"/>
  <c r="J84" i="10"/>
  <c r="AK160" i="10"/>
  <c r="AK140" i="10"/>
  <c r="AB114" i="10"/>
  <c r="AG114" i="10" s="1"/>
  <c r="S114" i="10"/>
  <c r="AJ133" i="10"/>
  <c r="AG133" i="10"/>
  <c r="R130" i="10"/>
  <c r="S130" i="10"/>
  <c r="AB154" i="10"/>
  <c r="AG154" i="10" s="1"/>
  <c r="S154" i="10"/>
  <c r="S86" i="10"/>
  <c r="R86" i="10"/>
  <c r="S144" i="10"/>
  <c r="AB144" i="10"/>
  <c r="AG144" i="10" s="1"/>
  <c r="R104" i="10"/>
  <c r="S104" i="10"/>
  <c r="R175" i="10"/>
  <c r="S175" i="10"/>
  <c r="AL99" i="10"/>
  <c r="AB142" i="10"/>
  <c r="AG142" i="10" s="1"/>
  <c r="S142" i="10"/>
  <c r="R129" i="10"/>
  <c r="S129" i="10"/>
  <c r="R167" i="10"/>
  <c r="S167" i="10"/>
  <c r="R176" i="10"/>
  <c r="S176" i="10"/>
  <c r="AJ144" i="10"/>
  <c r="S178" i="10"/>
  <c r="AB178" i="10"/>
  <c r="AG178" i="10" s="1"/>
  <c r="R134" i="10"/>
  <c r="S134" i="10"/>
  <c r="R132" i="10"/>
  <c r="S132" i="10"/>
  <c r="J119" i="10"/>
  <c r="J76" i="10"/>
  <c r="J122" i="10"/>
  <c r="J106" i="10"/>
  <c r="J66" i="10"/>
  <c r="J115" i="10"/>
  <c r="J144" i="10"/>
  <c r="J147" i="10"/>
  <c r="J141" i="10"/>
  <c r="J110" i="10"/>
  <c r="J150" i="10"/>
  <c r="J71" i="10"/>
  <c r="J155" i="10"/>
  <c r="J130" i="10"/>
  <c r="J152" i="10"/>
  <c r="J165" i="10"/>
  <c r="J183" i="10"/>
  <c r="J181" i="10"/>
  <c r="J164" i="10"/>
  <c r="J179" i="10"/>
  <c r="J177" i="10"/>
  <c r="AK91" i="10"/>
  <c r="R67" i="10"/>
  <c r="S67" i="10"/>
  <c r="AL102" i="10"/>
  <c r="AK169" i="10"/>
  <c r="S166" i="10"/>
  <c r="AB166" i="10"/>
  <c r="AG166" i="10" s="1"/>
  <c r="AB141" i="10"/>
  <c r="AG141" i="10" s="1"/>
  <c r="S141" i="10"/>
  <c r="G105" i="4"/>
  <c r="G40" i="4"/>
  <c r="G499" i="4"/>
  <c r="G346" i="4"/>
  <c r="G129" i="4"/>
  <c r="G268" i="4"/>
  <c r="G42" i="4"/>
  <c r="G148" i="4"/>
  <c r="G391" i="4"/>
  <c r="G403" i="4"/>
  <c r="G527" i="4"/>
  <c r="G337" i="4"/>
  <c r="G27" i="4"/>
  <c r="G246" i="4"/>
  <c r="G528" i="4"/>
  <c r="G258" i="4"/>
  <c r="G31" i="4"/>
  <c r="G338" i="4"/>
  <c r="G16" i="4"/>
  <c r="G459" i="4"/>
  <c r="G439" i="4"/>
  <c r="G536" i="4"/>
  <c r="G250" i="4"/>
  <c r="G456" i="4"/>
  <c r="G187" i="4"/>
  <c r="G345" i="4"/>
  <c r="G23" i="4"/>
  <c r="G478" i="4"/>
  <c r="G233" i="4"/>
  <c r="G225" i="4"/>
  <c r="G199" i="4"/>
  <c r="G263" i="4"/>
  <c r="G406" i="4"/>
  <c r="G81" i="4"/>
  <c r="G78" i="4"/>
  <c r="G302" i="4"/>
  <c r="G476" i="4"/>
  <c r="G445" i="4"/>
  <c r="G454" i="4"/>
  <c r="G179" i="4"/>
  <c r="G321" i="4"/>
  <c r="G283" i="4"/>
  <c r="G538" i="4"/>
  <c r="G236" i="4"/>
  <c r="G434" i="4"/>
  <c r="G221" i="4"/>
  <c r="G303" i="4"/>
  <c r="G497" i="4"/>
  <c r="G510" i="4"/>
  <c r="G68" i="4"/>
  <c r="G323" i="4"/>
  <c r="G306" i="4"/>
  <c r="G107" i="4"/>
  <c r="G203" i="4"/>
  <c r="G435" i="4"/>
  <c r="G18" i="4"/>
  <c r="G186" i="4"/>
  <c r="G549" i="4"/>
  <c r="G418" i="4"/>
  <c r="G111" i="4"/>
  <c r="G156" i="4"/>
  <c r="G344" i="4"/>
  <c r="G487" i="4"/>
  <c r="G28" i="4"/>
  <c r="G385" i="4"/>
  <c r="G531" i="4"/>
  <c r="G335" i="4"/>
  <c r="G163" i="4"/>
  <c r="G76" i="4"/>
  <c r="G409" i="4"/>
  <c r="G490" i="4"/>
  <c r="G41" i="4"/>
  <c r="G195" i="4"/>
  <c r="G146" i="4"/>
  <c r="G524" i="4"/>
  <c r="G395" i="4"/>
  <c r="G229" i="4"/>
  <c r="G256" i="4"/>
  <c r="G362" i="4"/>
  <c r="G99" i="4"/>
  <c r="G98" i="4"/>
  <c r="G341" i="4"/>
  <c r="G532" i="4"/>
  <c r="G175" i="4"/>
  <c r="G503" i="4"/>
  <c r="G176" i="4"/>
  <c r="G123" i="4"/>
  <c r="G134" i="4"/>
  <c r="G289" i="4"/>
  <c r="G155" i="4"/>
  <c r="G548" i="4"/>
  <c r="G247" i="4"/>
  <c r="G523" i="4"/>
  <c r="G363" i="4"/>
  <c r="G70" i="4"/>
  <c r="G367" i="4"/>
  <c r="G334" i="4"/>
  <c r="G198" i="4"/>
  <c r="G145" i="4"/>
  <c r="G169" i="4"/>
  <c r="G120" i="4"/>
  <c r="G202" i="4"/>
  <c r="G24" i="4"/>
  <c r="G252" i="4"/>
  <c r="G10" i="4"/>
  <c r="G160" i="4"/>
  <c r="G372" i="4"/>
  <c r="G75" i="4"/>
  <c r="G553" i="4"/>
  <c r="G340" i="4"/>
  <c r="G311" i="4"/>
  <c r="G34" i="4"/>
  <c r="G74" i="4"/>
  <c r="G404" i="4"/>
  <c r="G448" i="4"/>
  <c r="G261" i="4"/>
  <c r="G529" i="4"/>
  <c r="G300" i="4"/>
  <c r="G45" i="4"/>
  <c r="G194" i="4"/>
  <c r="G119" i="4"/>
  <c r="G96" i="4"/>
  <c r="G205" i="4"/>
  <c r="G507" i="4"/>
  <c r="G33" i="4"/>
  <c r="G299" i="4"/>
  <c r="G297" i="4"/>
  <c r="G190" i="4"/>
  <c r="G222" i="4"/>
  <c r="G437" i="4"/>
  <c r="G171" i="4"/>
  <c r="G298" i="4"/>
  <c r="G467" i="4"/>
  <c r="G309" i="4"/>
  <c r="G542" i="4"/>
  <c r="G88" i="4"/>
  <c r="G473" i="4"/>
  <c r="G108" i="4"/>
  <c r="G62" i="4"/>
  <c r="G360" i="4"/>
  <c r="G157" i="4"/>
  <c r="G116" i="4"/>
  <c r="G390" i="4"/>
  <c r="G97" i="4"/>
  <c r="G64" i="4"/>
  <c r="G359" i="4"/>
  <c r="G496" i="4"/>
  <c r="G50" i="4"/>
  <c r="G447" i="4"/>
  <c r="G93" i="4"/>
  <c r="G477" i="4"/>
  <c r="G556" i="4"/>
  <c r="G72" i="4"/>
  <c r="G453" i="4"/>
  <c r="G133" i="4"/>
  <c r="G152" i="4"/>
  <c r="G504" i="4"/>
  <c r="G206" i="4"/>
  <c r="G83" i="4"/>
  <c r="G470" i="4"/>
  <c r="G521" i="4"/>
  <c r="G424" i="4"/>
  <c r="G184" i="4"/>
  <c r="G272" i="4"/>
  <c r="G410" i="4"/>
  <c r="G235" i="4"/>
  <c r="G13" i="4"/>
  <c r="G149" i="4"/>
  <c r="G522" i="4"/>
  <c r="G343" i="4"/>
  <c r="G21" i="4"/>
  <c r="G170" i="4"/>
  <c r="G61" i="4"/>
  <c r="G416" i="4"/>
  <c r="G442" i="4"/>
  <c r="G228" i="4"/>
  <c r="G143" i="4"/>
  <c r="G312" i="4"/>
  <c r="G505" i="4"/>
  <c r="G212" i="4"/>
  <c r="G364" i="4"/>
  <c r="G517" i="4"/>
  <c r="G240" i="4"/>
  <c r="G177" i="4"/>
  <c r="G375" i="4"/>
  <c r="G358" i="4"/>
  <c r="G554" i="4"/>
  <c r="G122" i="4"/>
  <c r="G47" i="4"/>
  <c r="G259" i="4"/>
  <c r="G316" i="4"/>
  <c r="G48" i="4"/>
  <c r="G58" i="4"/>
  <c r="G158" i="4"/>
  <c r="G464" i="4"/>
  <c r="G379" i="4"/>
  <c r="G486" i="4"/>
  <c r="G427" i="4"/>
  <c r="G200" i="4"/>
  <c r="G285" i="4"/>
  <c r="G17" i="4"/>
  <c r="G136" i="4"/>
  <c r="G192" i="4"/>
  <c r="G130" i="4"/>
  <c r="G543" i="4"/>
  <c r="G51" i="4"/>
  <c r="G317" i="4"/>
  <c r="G366" i="4"/>
  <c r="G516" i="4"/>
  <c r="G110" i="4"/>
  <c r="G180" i="4"/>
  <c r="G138" i="4"/>
  <c r="G248" i="4"/>
  <c r="G513" i="4"/>
  <c r="G54" i="4"/>
  <c r="G514" i="4"/>
  <c r="G348" i="4"/>
  <c r="G481" i="4"/>
  <c r="G322" i="4"/>
  <c r="G443" i="4"/>
  <c r="G73" i="4"/>
  <c r="G286" i="4"/>
  <c r="G488" i="4"/>
  <c r="G342" i="4"/>
  <c r="G336" i="4"/>
  <c r="G389" i="4"/>
  <c r="G60" i="4"/>
  <c r="G440" i="4"/>
  <c r="G449" i="4"/>
  <c r="G492" i="4"/>
  <c r="G511" i="4"/>
  <c r="G241" i="4"/>
  <c r="G457" i="4"/>
  <c r="G471" i="4"/>
  <c r="G65" i="4"/>
  <c r="G57" i="4"/>
  <c r="G211" i="4"/>
  <c r="G402" i="4"/>
  <c r="G320" i="4"/>
  <c r="G95" i="4"/>
  <c r="G452" i="4"/>
  <c r="G310" i="4"/>
  <c r="G547" i="4"/>
  <c r="G304" i="4"/>
  <c r="G131" i="4"/>
  <c r="G352" i="4"/>
  <c r="G92" i="4"/>
  <c r="G425" i="4"/>
  <c r="G489" i="4"/>
  <c r="G413" i="4"/>
  <c r="G483" i="4"/>
  <c r="G461" i="4"/>
  <c r="G100" i="4"/>
  <c r="G167" i="4"/>
  <c r="G14" i="4"/>
  <c r="G118" i="4"/>
  <c r="G135" i="4"/>
  <c r="G147" i="4"/>
  <c r="G12" i="4"/>
  <c r="G112" i="4"/>
  <c r="G287" i="4"/>
  <c r="G114" i="4"/>
  <c r="G150" i="4"/>
  <c r="G373" i="4"/>
  <c r="G55" i="4"/>
  <c r="G380" i="4"/>
  <c r="G361" i="4"/>
  <c r="G264" i="4"/>
  <c r="G125" i="4"/>
  <c r="G355" i="4"/>
  <c r="G80" i="4"/>
  <c r="G87" i="4"/>
  <c r="G126" i="4"/>
  <c r="G67" i="4"/>
  <c r="G279" i="4"/>
  <c r="G102" i="4"/>
  <c r="G491" i="4"/>
  <c r="G132" i="4"/>
  <c r="G66" i="4"/>
  <c r="G144" i="4"/>
  <c r="G393" i="4"/>
  <c r="G15" i="4"/>
  <c r="G381" i="4"/>
  <c r="G351" i="4"/>
  <c r="G371" i="4"/>
  <c r="G433" i="4"/>
  <c r="G396" i="4"/>
  <c r="G230" i="4"/>
  <c r="G498" i="4"/>
  <c r="G227" i="4"/>
  <c r="G502" i="4"/>
  <c r="G324" i="4"/>
  <c r="G29" i="4"/>
  <c r="G84" i="4"/>
  <c r="G414" i="4"/>
  <c r="G38" i="4"/>
  <c r="G218" i="4"/>
  <c r="G164" i="4"/>
  <c r="G30" i="4"/>
  <c r="G82" i="4"/>
  <c r="G546" i="4"/>
  <c r="G430" i="4"/>
  <c r="G411" i="4"/>
  <c r="G512" i="4"/>
  <c r="G32" i="4"/>
  <c r="G446" i="4"/>
  <c r="G201" i="4"/>
  <c r="G197" i="4"/>
  <c r="G172" i="4"/>
  <c r="G139" i="4"/>
  <c r="G468" i="4"/>
  <c r="G329" i="4"/>
  <c r="G384" i="4"/>
  <c r="G544" i="4"/>
  <c r="G207" i="4"/>
  <c r="G166" i="4"/>
  <c r="G253" i="4"/>
  <c r="G307" i="4"/>
  <c r="G526" i="4"/>
  <c r="G332" i="4"/>
  <c r="G142" i="4"/>
  <c r="G266" i="4"/>
  <c r="G450" i="4"/>
  <c r="G8" i="4"/>
  <c r="G193" i="4"/>
  <c r="G400" i="4"/>
  <c r="G226" i="4"/>
  <c r="G349" i="4"/>
  <c r="G210" i="4"/>
  <c r="G350" i="4"/>
  <c r="G109" i="4"/>
  <c r="G408" i="4"/>
  <c r="G154" i="4"/>
  <c r="G555" i="4"/>
  <c r="G255" i="4"/>
  <c r="G369" i="4"/>
  <c r="G357" i="4"/>
  <c r="G178" i="4"/>
  <c r="G181" i="4"/>
  <c r="G436" i="4"/>
  <c r="G224" i="4"/>
  <c r="G217" i="4"/>
  <c r="G484" i="4"/>
  <c r="G232" i="4"/>
  <c r="G540" i="4"/>
  <c r="G292" i="4"/>
  <c r="G35" i="4"/>
  <c r="G525" i="4"/>
  <c r="G223" i="4"/>
  <c r="G305" i="4"/>
  <c r="G506" i="4"/>
  <c r="G294" i="4"/>
  <c r="G399" i="4"/>
  <c r="G295" i="4"/>
  <c r="G339" i="4"/>
  <c r="G141" i="4"/>
  <c r="G501" i="4"/>
  <c r="G377" i="4"/>
  <c r="G318" i="4"/>
  <c r="G204" i="4"/>
  <c r="G432" i="4"/>
  <c r="G53" i="4"/>
  <c r="G392" i="4"/>
  <c r="G22" i="4"/>
  <c r="G237" i="4"/>
  <c r="G79" i="4"/>
  <c r="G281" i="4"/>
  <c r="G370" i="4"/>
  <c r="G90" i="4"/>
  <c r="G276" i="4"/>
  <c r="G500" i="4"/>
  <c r="G412" i="4"/>
  <c r="G438" i="4"/>
  <c r="G328" i="4"/>
  <c r="G270" i="4"/>
  <c r="G49" i="4"/>
  <c r="G518" i="4"/>
  <c r="G267" i="4"/>
  <c r="G537" i="4"/>
  <c r="G216" i="4"/>
  <c r="G243" i="4"/>
  <c r="G151" i="4"/>
  <c r="G480" i="4"/>
  <c r="G301" i="4"/>
  <c r="G244" i="4"/>
  <c r="G333" i="4"/>
  <c r="G71" i="4"/>
  <c r="G52" i="4"/>
  <c r="G128" i="4"/>
  <c r="G44" i="4"/>
  <c r="G106" i="4"/>
  <c r="G290" i="4"/>
  <c r="G46" i="4"/>
  <c r="G557" i="4"/>
  <c r="G153" i="4"/>
  <c r="G313" i="4"/>
  <c r="G426" i="4"/>
  <c r="G127" i="4"/>
  <c r="G196" i="4"/>
  <c r="G319" i="4"/>
  <c r="G353" i="4"/>
  <c r="G260" i="4"/>
  <c r="G36" i="4"/>
  <c r="G458" i="4"/>
  <c r="G91" i="4"/>
  <c r="G327" i="4"/>
  <c r="G115" i="4"/>
  <c r="G242" i="4"/>
  <c r="G382" i="4"/>
  <c r="G330" i="4"/>
  <c r="G11" i="4"/>
  <c r="G398" i="4"/>
  <c r="G280" i="4"/>
  <c r="G265" i="4"/>
  <c r="G188" i="4"/>
  <c r="G124" i="4"/>
  <c r="G509" i="4"/>
  <c r="G493" i="4"/>
  <c r="G168" i="4"/>
  <c r="G274" i="4"/>
  <c r="G162" i="4"/>
  <c r="G495" i="4"/>
  <c r="G239" i="4"/>
  <c r="G535" i="4"/>
  <c r="G189" i="4"/>
  <c r="G479" i="4"/>
  <c r="G165" i="4"/>
  <c r="G269" i="4"/>
  <c r="G254" i="4"/>
  <c r="G185" i="4"/>
  <c r="G347" i="4"/>
  <c r="G277" i="4"/>
  <c r="G420" i="4"/>
  <c r="G86" i="4"/>
  <c r="G288" i="4"/>
  <c r="G429" i="4"/>
  <c r="G533" i="4"/>
  <c r="G191" i="4"/>
  <c r="G376" i="4"/>
  <c r="G455" i="4"/>
  <c r="G519" i="4"/>
  <c r="G296" i="4"/>
  <c r="G214" i="4"/>
  <c r="G515" i="4"/>
  <c r="G441" i="4"/>
  <c r="G552" i="4"/>
  <c r="G475" i="4"/>
  <c r="G520" i="4"/>
  <c r="G174" i="4"/>
  <c r="G257" i="4"/>
  <c r="G284" i="4"/>
  <c r="G539" i="4"/>
  <c r="G365" i="4"/>
  <c r="G231" i="4"/>
  <c r="G550" i="4"/>
  <c r="G417" i="4"/>
  <c r="G405" i="4"/>
  <c r="G354" i="4"/>
  <c r="G315" i="4"/>
  <c r="G271" i="4"/>
  <c r="G407" i="4"/>
  <c r="G113" i="4"/>
  <c r="G428" i="4"/>
  <c r="G262" i="4"/>
  <c r="G213" i="4"/>
  <c r="G421" i="4"/>
  <c r="G282" i="4"/>
  <c r="G374" i="4"/>
  <c r="G140" i="4"/>
  <c r="G37" i="4"/>
  <c r="G77" i="4"/>
  <c r="G331" i="4"/>
  <c r="G431" i="4"/>
  <c r="G137" i="4"/>
  <c r="G388" i="4"/>
  <c r="G234" i="4"/>
  <c r="G208" i="4"/>
  <c r="G368" i="4"/>
  <c r="G209" i="4"/>
  <c r="G422" i="4"/>
  <c r="G104" i="4"/>
  <c r="G356" i="4"/>
  <c r="G183" i="4"/>
  <c r="G293" i="4"/>
  <c r="G7" i="4"/>
  <c r="G541" i="4"/>
  <c r="G534" i="4"/>
  <c r="G173" i="4"/>
  <c r="G326" i="4"/>
  <c r="G291" i="4"/>
  <c r="G444" i="4"/>
  <c r="G474" i="4"/>
  <c r="G182" i="4"/>
  <c r="G273" i="4"/>
  <c r="G89" i="4"/>
  <c r="G465" i="4"/>
  <c r="G63" i="4"/>
  <c r="G251" i="4"/>
  <c r="G462" i="4"/>
  <c r="G466" i="4"/>
  <c r="G394" i="4"/>
  <c r="G419" i="4"/>
  <c r="G85" i="4"/>
  <c r="G94" i="4"/>
  <c r="G117" i="4"/>
  <c r="G219" i="4"/>
  <c r="G19" i="4"/>
  <c r="G460" i="4"/>
  <c r="G397" i="4"/>
  <c r="G308" i="4"/>
  <c r="G103" i="4"/>
  <c r="G482" i="4"/>
  <c r="G9" i="4"/>
  <c r="G378" i="4"/>
  <c r="G39" i="4"/>
  <c r="G56" i="4"/>
  <c r="G249" i="4"/>
  <c r="G278" i="4"/>
  <c r="G530" i="4"/>
  <c r="G20" i="4"/>
  <c r="G121" i="4"/>
  <c r="G494" i="4"/>
  <c r="G469" i="4"/>
  <c r="G215" i="4"/>
  <c r="G386" i="4"/>
  <c r="G25" i="4"/>
  <c r="G159" i="4"/>
  <c r="G101" i="4"/>
  <c r="G325" i="4"/>
  <c r="G59" i="4"/>
  <c r="G472" i="4"/>
  <c r="G423" i="4"/>
  <c r="G463" i="4"/>
  <c r="G451" i="4"/>
  <c r="G238" i="4"/>
  <c r="G415" i="4"/>
  <c r="G161" i="4"/>
  <c r="G485" i="4"/>
  <c r="G508" i="4"/>
  <c r="G545" i="4"/>
  <c r="G275" i="4"/>
  <c r="G314" i="4"/>
  <c r="G401" i="4"/>
  <c r="G387" i="4"/>
  <c r="G26" i="4"/>
  <c r="G69" i="4"/>
  <c r="G551" i="4"/>
  <c r="G43" i="4"/>
  <c r="G245" i="4"/>
  <c r="G220" i="4"/>
  <c r="G383" i="4"/>
  <c r="S173" i="10"/>
  <c r="R173" i="10"/>
  <c r="AK65" i="10"/>
  <c r="AJ175" i="10"/>
  <c r="AG175" i="10"/>
  <c r="AK145" i="10"/>
  <c r="S124" i="10"/>
  <c r="AB124" i="10"/>
  <c r="AG124" i="10" s="1"/>
  <c r="S165" i="10"/>
  <c r="AB165" i="10"/>
  <c r="AG165" i="10" s="1"/>
  <c r="B28" i="21"/>
  <c r="D28" i="21" s="1"/>
  <c r="H7" i="7" s="1"/>
  <c r="H15" i="7" s="1"/>
  <c r="O15" i="7" s="1"/>
  <c r="AL77" i="10"/>
  <c r="AK79" i="10"/>
  <c r="S105" i="10"/>
  <c r="AB105" i="10"/>
  <c r="AG105" i="10" s="1"/>
  <c r="AB78" i="10"/>
  <c r="AG78" i="10" s="1"/>
  <c r="AJ171" i="10"/>
  <c r="AG171" i="10"/>
  <c r="AL88" i="10"/>
  <c r="S174" i="10"/>
  <c r="AB174" i="10"/>
  <c r="AG174" i="10" s="1"/>
  <c r="AJ155" i="10"/>
  <c r="AG155" i="10"/>
  <c r="R107" i="10"/>
  <c r="S107" i="10"/>
  <c r="AK104" i="10"/>
  <c r="S69" i="10"/>
  <c r="R69" i="10"/>
  <c r="AK162" i="10"/>
  <c r="S138" i="10"/>
  <c r="R138" i="10"/>
  <c r="AG111" i="10"/>
  <c r="AJ111" i="10"/>
  <c r="S115" i="10"/>
  <c r="AB115" i="10"/>
  <c r="AG115" i="10" s="1"/>
  <c r="J23" i="28"/>
  <c r="J28" i="28"/>
  <c r="J21" i="28"/>
  <c r="J29" i="28"/>
  <c r="J26" i="28"/>
  <c r="J25" i="28"/>
  <c r="J27" i="28"/>
  <c r="J20" i="28"/>
  <c r="J19" i="28"/>
  <c r="J31" i="28" s="1"/>
  <c r="B34" i="28" s="1"/>
  <c r="B37" i="28" s="1"/>
  <c r="J24" i="28"/>
  <c r="J22" i="28"/>
  <c r="J30" i="28"/>
  <c r="AJ164" i="10"/>
  <c r="AJ105" i="10"/>
  <c r="R62" i="10"/>
  <c r="S62" i="10"/>
  <c r="T62" i="10"/>
  <c r="C54" i="20"/>
  <c r="B20" i="20"/>
  <c r="B23" i="18" s="1"/>
  <c r="B29" i="20"/>
  <c r="B31" i="20" s="1"/>
  <c r="B24" i="18" s="1"/>
  <c r="D11" i="20"/>
  <c r="D14" i="20" s="1"/>
  <c r="F11" i="20"/>
  <c r="B11" i="20"/>
  <c r="B22" i="18" s="1"/>
  <c r="AK130" i="10"/>
  <c r="AL186" i="10"/>
  <c r="AK64" i="10"/>
  <c r="R158" i="10"/>
  <c r="S158" i="10"/>
  <c r="AK132" i="10"/>
  <c r="AK113" i="10"/>
  <c r="R85" i="10"/>
  <c r="S85" i="10"/>
  <c r="S96" i="10"/>
  <c r="R96" i="10"/>
  <c r="R74" i="10"/>
  <c r="S74" i="10"/>
  <c r="T74" i="10"/>
  <c r="AJ174" i="10"/>
  <c r="AK127" i="10"/>
  <c r="AK172" i="10"/>
  <c r="S139" i="10"/>
  <c r="R157" i="10"/>
  <c r="S157" i="10"/>
  <c r="R149" i="10"/>
  <c r="S149" i="10"/>
  <c r="R172" i="10"/>
  <c r="S172" i="10"/>
  <c r="R140" i="10"/>
  <c r="S140" i="10"/>
  <c r="AB177" i="10"/>
  <c r="AG177" i="10" s="1"/>
  <c r="S177" i="10"/>
  <c r="AB164" i="10"/>
  <c r="AG164" i="10" s="1"/>
  <c r="S164" i="10"/>
  <c r="S78" i="10"/>
  <c r="R78" i="10"/>
  <c r="AL120" i="10"/>
  <c r="AK63" i="10"/>
  <c r="AB181" i="10"/>
  <c r="AG181" i="10" s="1"/>
  <c r="S181" i="10"/>
  <c r="AB143" i="10"/>
  <c r="AG143" i="10" s="1"/>
  <c r="S143" i="10"/>
  <c r="AB103" i="10"/>
  <c r="AG103" i="10" s="1"/>
  <c r="S103" i="10"/>
  <c r="S131" i="10"/>
  <c r="AB131" i="10"/>
  <c r="AG131" i="10" s="1"/>
  <c r="D18" i="18"/>
  <c r="C23" i="53"/>
  <c r="Q8" i="7" s="1"/>
  <c r="S109" i="10"/>
  <c r="R109" i="10"/>
  <c r="R113" i="10"/>
  <c r="S113" i="10"/>
  <c r="E11" i="57"/>
  <c r="H12" i="28"/>
  <c r="E11" i="26"/>
  <c r="E11" i="10"/>
  <c r="Q62" i="14"/>
  <c r="AJ177" i="10"/>
  <c r="S137" i="10"/>
  <c r="AB137" i="10"/>
  <c r="AG137" i="10" s="1"/>
  <c r="P60" i="14"/>
  <c r="D39" i="20"/>
  <c r="D40" i="20" s="1"/>
  <c r="D42" i="20" s="1"/>
  <c r="C39" i="20"/>
  <c r="C40" i="20" s="1"/>
  <c r="C42" i="20" s="1"/>
  <c r="B39" i="20"/>
  <c r="B40" i="20" s="1"/>
  <c r="B42" i="20" s="1"/>
  <c r="G10" i="28"/>
  <c r="F39" i="20"/>
  <c r="F40" i="20" s="1"/>
  <c r="F42" i="20" s="1"/>
  <c r="S182" i="10"/>
  <c r="R182" i="10"/>
  <c r="S183" i="10"/>
  <c r="R183" i="10"/>
  <c r="J185" i="10"/>
  <c r="J187" i="10"/>
  <c r="J67" i="10"/>
  <c r="J77" i="10"/>
  <c r="J136" i="10"/>
  <c r="J133" i="10"/>
  <c r="J72" i="10"/>
  <c r="AJ167" i="10"/>
  <c r="AG167" i="10"/>
  <c r="AK183" i="10"/>
  <c r="AK81" i="10"/>
  <c r="P74" i="10"/>
  <c r="AD74" i="10" s="1"/>
  <c r="AI74" i="10" s="1"/>
  <c r="AM74" i="10" s="1"/>
  <c r="AN74" i="10" s="1"/>
  <c r="P73" i="10"/>
  <c r="P187" i="10"/>
  <c r="P75" i="10"/>
  <c r="P90" i="10"/>
  <c r="P97" i="10"/>
  <c r="U97" i="10" s="1"/>
  <c r="P94" i="10"/>
  <c r="U94" i="10" s="1"/>
  <c r="P102" i="10"/>
  <c r="P99" i="10"/>
  <c r="P186" i="10"/>
  <c r="U186" i="10" s="1"/>
  <c r="P89" i="10"/>
  <c r="U89" i="10" s="1"/>
  <c r="P122" i="10"/>
  <c r="U122" i="10" s="1"/>
  <c r="V122" i="10" s="1"/>
  <c r="P77" i="10"/>
  <c r="P88" i="10"/>
  <c r="P121" i="10"/>
  <c r="P128" i="10"/>
  <c r="P151" i="10"/>
  <c r="P120" i="10"/>
  <c r="P152" i="10"/>
  <c r="P170" i="10"/>
  <c r="P76" i="10"/>
  <c r="P62" i="10"/>
  <c r="AD62" i="10" s="1"/>
  <c r="AI62" i="10" s="1"/>
  <c r="AM62" i="10" s="1"/>
  <c r="AB156" i="10"/>
  <c r="AG156" i="10" s="1"/>
  <c r="S156" i="10"/>
  <c r="S125" i="10"/>
  <c r="AB125" i="10"/>
  <c r="H42" i="17" l="1"/>
  <c r="F42" i="17"/>
  <c r="D27" i="18" s="1"/>
  <c r="D42" i="17"/>
  <c r="B27" i="18" s="1"/>
  <c r="B71" i="18"/>
  <c r="V94" i="10"/>
  <c r="V97" i="10"/>
  <c r="AG125" i="10"/>
  <c r="V89" i="10"/>
  <c r="V186" i="10"/>
  <c r="F9" i="28"/>
  <c r="O59" i="14"/>
  <c r="AN62" i="10"/>
  <c r="AD186" i="10"/>
  <c r="AI186" i="10" s="1"/>
  <c r="AM186" i="10" s="1"/>
  <c r="AN186" i="10" s="1"/>
  <c r="AO186" i="10" s="1"/>
  <c r="X8" i="7"/>
  <c r="X16" i="7" s="1"/>
  <c r="E200" i="10"/>
  <c r="D200" i="10"/>
  <c r="AD94" i="10"/>
  <c r="AI94" i="10" s="1"/>
  <c r="AM94" i="10" s="1"/>
  <c r="AN94" i="10" s="1"/>
  <c r="AO94" i="10" s="1"/>
  <c r="AQ94" i="10" s="1"/>
  <c r="AK174" i="10"/>
  <c r="AK78" i="10"/>
  <c r="AK105" i="10"/>
  <c r="Q16" i="7"/>
  <c r="S15" i="7"/>
  <c r="AK164" i="10"/>
  <c r="AK177" i="10"/>
  <c r="AR94" i="10"/>
  <c r="AD73" i="10"/>
  <c r="AI73" i="10" s="1"/>
  <c r="AM73" i="10" s="1"/>
  <c r="AN73" i="10" s="1"/>
  <c r="U73" i="10"/>
  <c r="V73" i="10" s="1"/>
  <c r="AK103" i="10"/>
  <c r="D22" i="18"/>
  <c r="U8" i="7"/>
  <c r="U16" i="7" s="1"/>
  <c r="AK171" i="10"/>
  <c r="AK144" i="10"/>
  <c r="AK143" i="10"/>
  <c r="U76" i="10"/>
  <c r="V76" i="10" s="1"/>
  <c r="AD76" i="10"/>
  <c r="AI76" i="10" s="1"/>
  <c r="AM76" i="10" s="1"/>
  <c r="AN76" i="10" s="1"/>
  <c r="C43" i="20"/>
  <c r="C44" i="20"/>
  <c r="C45" i="20" s="1"/>
  <c r="C46" i="20" s="1"/>
  <c r="C47" i="20" s="1"/>
  <c r="U62" i="10"/>
  <c r="V62" i="10" s="1"/>
  <c r="AO62" i="10" s="1"/>
  <c r="AD170" i="10"/>
  <c r="AI170" i="10" s="1"/>
  <c r="AM170" i="10" s="1"/>
  <c r="AN170" i="10" s="1"/>
  <c r="U170" i="10"/>
  <c r="V170" i="10" s="1"/>
  <c r="AK167" i="10"/>
  <c r="D44" i="20"/>
  <c r="D43" i="20"/>
  <c r="AK111" i="10"/>
  <c r="P119" i="10"/>
  <c r="P107" i="10"/>
  <c r="P109" i="10"/>
  <c r="P149" i="10"/>
  <c r="P64" i="10"/>
  <c r="P159" i="10"/>
  <c r="P92" i="10"/>
  <c r="P184" i="10"/>
  <c r="P162" i="10"/>
  <c r="P101" i="10"/>
  <c r="P148" i="10"/>
  <c r="P182" i="10"/>
  <c r="P98" i="10"/>
  <c r="P116" i="10"/>
  <c r="P168" i="10"/>
  <c r="P96" i="10"/>
  <c r="P110" i="10"/>
  <c r="P67" i="10"/>
  <c r="P100" i="10"/>
  <c r="P108" i="10"/>
  <c r="P71" i="10"/>
  <c r="P66" i="10"/>
  <c r="P80" i="10"/>
  <c r="P127" i="10"/>
  <c r="P61" i="10"/>
  <c r="P65" i="10"/>
  <c r="P173" i="10"/>
  <c r="P146" i="10"/>
  <c r="P82" i="10"/>
  <c r="P63" i="10"/>
  <c r="P169" i="10"/>
  <c r="P72" i="10"/>
  <c r="P126" i="10"/>
  <c r="P158" i="10"/>
  <c r="P86" i="10"/>
  <c r="P136" i="10"/>
  <c r="P70" i="10"/>
  <c r="P69" i="10"/>
  <c r="P150" i="10"/>
  <c r="P84" i="10"/>
  <c r="P117" i="10"/>
  <c r="P68" i="10"/>
  <c r="P118" i="10"/>
  <c r="P183" i="10"/>
  <c r="P79" i="10"/>
  <c r="P91" i="10"/>
  <c r="P81" i="10"/>
  <c r="P85" i="10"/>
  <c r="P185" i="10"/>
  <c r="P83" i="10"/>
  <c r="P147" i="10"/>
  <c r="P60" i="10"/>
  <c r="P135" i="10"/>
  <c r="P138" i="10"/>
  <c r="P87" i="10"/>
  <c r="P163" i="10"/>
  <c r="P145" i="10"/>
  <c r="P95" i="10"/>
  <c r="P93" i="10"/>
  <c r="P134" i="10"/>
  <c r="B43" i="20"/>
  <c r="B44" i="20"/>
  <c r="AD152" i="10"/>
  <c r="AI152" i="10" s="1"/>
  <c r="AM152" i="10" s="1"/>
  <c r="AN152" i="10" s="1"/>
  <c r="U152" i="10"/>
  <c r="V152" i="10" s="1"/>
  <c r="P59" i="14"/>
  <c r="G9" i="28"/>
  <c r="C27" i="18"/>
  <c r="X6" i="7"/>
  <c r="X14" i="7" s="1"/>
  <c r="U120" i="10"/>
  <c r="V120" i="10" s="1"/>
  <c r="AD120" i="10"/>
  <c r="AI120" i="10" s="1"/>
  <c r="AM120" i="10" s="1"/>
  <c r="AN120" i="10" s="1"/>
  <c r="AK137" i="10"/>
  <c r="AK133" i="10"/>
  <c r="AD151" i="10"/>
  <c r="AI151" i="10" s="1"/>
  <c r="AM151" i="10" s="1"/>
  <c r="AN151" i="10" s="1"/>
  <c r="U151" i="10"/>
  <c r="V151" i="10" s="1"/>
  <c r="AK155" i="10"/>
  <c r="AD122" i="10"/>
  <c r="AI122" i="10" s="1"/>
  <c r="AM122" i="10" s="1"/>
  <c r="AN122" i="10" s="1"/>
  <c r="AO122" i="10" s="1"/>
  <c r="AD128" i="10"/>
  <c r="AI128" i="10" s="1"/>
  <c r="AM128" i="10" s="1"/>
  <c r="AN128" i="10" s="1"/>
  <c r="U128" i="10"/>
  <c r="V128" i="10" s="1"/>
  <c r="B32" i="20"/>
  <c r="AK179" i="10"/>
  <c r="AD121" i="10"/>
  <c r="AI121" i="10" s="1"/>
  <c r="AM121" i="10" s="1"/>
  <c r="AN121" i="10" s="1"/>
  <c r="U121" i="10"/>
  <c r="V121" i="10" s="1"/>
  <c r="AK141" i="10"/>
  <c r="U77" i="10"/>
  <c r="V77" i="10" s="1"/>
  <c r="AD77" i="10"/>
  <c r="AI77" i="10" s="1"/>
  <c r="AM77" i="10" s="1"/>
  <c r="AN77" i="10" s="1"/>
  <c r="AK166" i="10"/>
  <c r="AK114" i="10"/>
  <c r="AK139" i="10"/>
  <c r="AK115" i="10"/>
  <c r="F10" i="57"/>
  <c r="F10" i="10"/>
  <c r="I11" i="28"/>
  <c r="F10" i="26"/>
  <c r="R61" i="14"/>
  <c r="AK165" i="10"/>
  <c r="B16" i="21"/>
  <c r="C26" i="18"/>
  <c r="C56" i="20"/>
  <c r="W6" i="7" s="1"/>
  <c r="W14" i="7" s="1"/>
  <c r="AK142" i="10"/>
  <c r="AK124" i="10"/>
  <c r="AD99" i="10"/>
  <c r="AI99" i="10" s="1"/>
  <c r="AM99" i="10" s="1"/>
  <c r="AN99" i="10" s="1"/>
  <c r="AO99" i="10" s="1"/>
  <c r="U99" i="10"/>
  <c r="V99" i="10" s="1"/>
  <c r="AD89" i="10"/>
  <c r="AI89" i="10" s="1"/>
  <c r="AM89" i="10" s="1"/>
  <c r="AN89" i="10" s="1"/>
  <c r="AO89" i="10" s="1"/>
  <c r="AK181" i="10"/>
  <c r="U102" i="10"/>
  <c r="V102" i="10" s="1"/>
  <c r="AD102" i="10"/>
  <c r="AI102" i="10" s="1"/>
  <c r="AM102" i="10" s="1"/>
  <c r="AN102" i="10" s="1"/>
  <c r="E10" i="57"/>
  <c r="Q61" i="14"/>
  <c r="H11" i="28"/>
  <c r="E10" i="10"/>
  <c r="E10" i="26"/>
  <c r="AK131" i="10"/>
  <c r="AD88" i="10"/>
  <c r="AI88" i="10" s="1"/>
  <c r="AM88" i="10" s="1"/>
  <c r="AN88" i="10" s="1"/>
  <c r="U88" i="10"/>
  <c r="V88" i="10" s="1"/>
  <c r="O126" i="10"/>
  <c r="O145" i="10"/>
  <c r="O64" i="10"/>
  <c r="O84" i="10"/>
  <c r="O107" i="10"/>
  <c r="O162" i="10"/>
  <c r="O68" i="10"/>
  <c r="O83" i="10"/>
  <c r="O135" i="10"/>
  <c r="O117" i="10"/>
  <c r="O70" i="10"/>
  <c r="O61" i="10"/>
  <c r="O169" i="10"/>
  <c r="O69" i="10"/>
  <c r="O66" i="10"/>
  <c r="O87" i="10"/>
  <c r="O118" i="10"/>
  <c r="O85" i="10"/>
  <c r="O185" i="10"/>
  <c r="O65" i="10"/>
  <c r="O71" i="10"/>
  <c r="O146" i="10"/>
  <c r="O150" i="10"/>
  <c r="O116" i="10"/>
  <c r="O108" i="10"/>
  <c r="O67" i="10"/>
  <c r="O63" i="10"/>
  <c r="O149" i="10"/>
  <c r="O183" i="10"/>
  <c r="O80" i="10"/>
  <c r="O79" i="10"/>
  <c r="O138" i="10"/>
  <c r="O95" i="10"/>
  <c r="O86" i="10"/>
  <c r="O92" i="10"/>
  <c r="O101" i="10"/>
  <c r="O119" i="10"/>
  <c r="O96" i="10"/>
  <c r="O147" i="10"/>
  <c r="O100" i="10"/>
  <c r="O158" i="10"/>
  <c r="O98" i="10"/>
  <c r="O184" i="10"/>
  <c r="O173" i="10"/>
  <c r="O159" i="10"/>
  <c r="O127" i="10"/>
  <c r="O72" i="10"/>
  <c r="O109" i="10"/>
  <c r="O91" i="10"/>
  <c r="O93" i="10"/>
  <c r="O81" i="10"/>
  <c r="O136" i="10"/>
  <c r="O82" i="10"/>
  <c r="O182" i="10"/>
  <c r="O110" i="10"/>
  <c r="O148" i="10"/>
  <c r="O163" i="10"/>
  <c r="O168" i="10"/>
  <c r="O134" i="10"/>
  <c r="O60" i="10"/>
  <c r="AK125" i="10"/>
  <c r="U74" i="10"/>
  <c r="V74" i="10" s="1"/>
  <c r="AO74" i="10" s="1"/>
  <c r="AK123" i="10"/>
  <c r="F43" i="20"/>
  <c r="F44" i="20"/>
  <c r="AD90" i="10"/>
  <c r="AI90" i="10" s="1"/>
  <c r="AM90" i="10" s="1"/>
  <c r="AN90" i="10" s="1"/>
  <c r="U90" i="10"/>
  <c r="V90" i="10" s="1"/>
  <c r="AK178" i="10"/>
  <c r="AK154" i="10"/>
  <c r="AD75" i="10"/>
  <c r="AI75" i="10" s="1"/>
  <c r="AM75" i="10" s="1"/>
  <c r="AN75" i="10" s="1"/>
  <c r="U75" i="10"/>
  <c r="V75" i="10" s="1"/>
  <c r="AD97" i="10"/>
  <c r="AI97" i="10" s="1"/>
  <c r="AM97" i="10" s="1"/>
  <c r="AN97" i="10" s="1"/>
  <c r="AO97" i="10" s="1"/>
  <c r="AK175" i="10"/>
  <c r="AK112" i="10"/>
  <c r="AK156" i="10"/>
  <c r="U187" i="10"/>
  <c r="V187" i="10" s="1"/>
  <c r="AD187" i="10"/>
  <c r="AI187" i="10" s="1"/>
  <c r="AM187" i="10" s="1"/>
  <c r="AN187" i="10" s="1"/>
  <c r="F22" i="18"/>
  <c r="F14" i="20"/>
  <c r="U7" i="7" s="1"/>
  <c r="U15" i="7" s="1"/>
  <c r="F27" i="18" l="1"/>
  <c r="X7" i="7"/>
  <c r="X15" i="7" s="1"/>
  <c r="F45" i="20"/>
  <c r="F46" i="20" s="1"/>
  <c r="F47" i="20" s="1"/>
  <c r="F25" i="18" s="1"/>
  <c r="B45" i="20"/>
  <c r="B46" i="20" s="1"/>
  <c r="B47" i="20" s="1"/>
  <c r="B25" i="18" s="1"/>
  <c r="AO73" i="10"/>
  <c r="B20" i="21"/>
  <c r="B24" i="21" s="1"/>
  <c r="D24" i="21" s="1"/>
  <c r="AO77" i="10"/>
  <c r="AO151" i="10"/>
  <c r="AO120" i="10"/>
  <c r="D45" i="20"/>
  <c r="D46" i="20" s="1"/>
  <c r="D47" i="20" s="1"/>
  <c r="D25" i="18" s="1"/>
  <c r="AS94" i="10"/>
  <c r="AO187" i="10"/>
  <c r="AQ187" i="10" s="1"/>
  <c r="AS186" i="10"/>
  <c r="AQ186" i="10"/>
  <c r="AR186" i="10"/>
  <c r="F8" i="28"/>
  <c r="O58" i="14"/>
  <c r="O57" i="14" s="1"/>
  <c r="O56" i="14" s="1"/>
  <c r="O55" i="14" s="1"/>
  <c r="O54" i="14" s="1"/>
  <c r="O53" i="14" s="1"/>
  <c r="O52" i="14" s="1"/>
  <c r="O51" i="14" s="1"/>
  <c r="O50" i="14" s="1"/>
  <c r="O49" i="14" s="1"/>
  <c r="AO88" i="10"/>
  <c r="AQ88" i="10" s="1"/>
  <c r="AR120" i="10"/>
  <c r="AS120" i="10"/>
  <c r="AQ120" i="10"/>
  <c r="AR74" i="10"/>
  <c r="AQ74" i="10"/>
  <c r="AS74" i="10"/>
  <c r="F49" i="20"/>
  <c r="V7" i="7" s="1"/>
  <c r="V15" i="7" s="1"/>
  <c r="C49" i="20"/>
  <c r="V6" i="7" s="1"/>
  <c r="V14" i="7" s="1"/>
  <c r="C25" i="18"/>
  <c r="D49" i="20"/>
  <c r="V8" i="7" s="1"/>
  <c r="V16" i="7" s="1"/>
  <c r="T108" i="10"/>
  <c r="AC108" i="10"/>
  <c r="AH108" i="10" s="1"/>
  <c r="T64" i="10"/>
  <c r="AC64" i="10"/>
  <c r="AH64" i="10" s="1"/>
  <c r="U60" i="10"/>
  <c r="V60" i="10" s="1"/>
  <c r="AD60" i="10"/>
  <c r="U159" i="10"/>
  <c r="V159" i="10" s="1"/>
  <c r="AD159" i="10"/>
  <c r="AC72" i="10"/>
  <c r="AH72" i="10" s="1"/>
  <c r="T72" i="10"/>
  <c r="AD185" i="10"/>
  <c r="U185" i="10"/>
  <c r="U65" i="10"/>
  <c r="V65" i="10" s="1"/>
  <c r="AD65" i="10"/>
  <c r="AD107" i="10"/>
  <c r="U107" i="10"/>
  <c r="V107" i="10" s="1"/>
  <c r="AO75" i="10"/>
  <c r="U146" i="10"/>
  <c r="V146" i="10" s="1"/>
  <c r="AD146" i="10"/>
  <c r="AC109" i="10"/>
  <c r="AH109" i="10" s="1"/>
  <c r="T109" i="10"/>
  <c r="AD147" i="10"/>
  <c r="U147" i="10"/>
  <c r="V147" i="10" s="1"/>
  <c r="AR187" i="10"/>
  <c r="T98" i="10"/>
  <c r="AC98" i="10"/>
  <c r="AH98" i="10" s="1"/>
  <c r="U119" i="10"/>
  <c r="AD119" i="10"/>
  <c r="T65" i="10"/>
  <c r="AC65" i="10"/>
  <c r="AH65" i="10" s="1"/>
  <c r="AR99" i="10"/>
  <c r="AS99" i="10"/>
  <c r="AQ99" i="10"/>
  <c r="O111" i="10"/>
  <c r="O176" i="10"/>
  <c r="O124" i="10"/>
  <c r="O142" i="10"/>
  <c r="O130" i="10"/>
  <c r="O167" i="10"/>
  <c r="O143" i="10"/>
  <c r="O131" i="10"/>
  <c r="O157" i="10"/>
  <c r="O104" i="10"/>
  <c r="O181" i="10"/>
  <c r="O166" i="10"/>
  <c r="O139" i="10"/>
  <c r="O123" i="10"/>
  <c r="O125" i="10"/>
  <c r="O144" i="10"/>
  <c r="O103" i="10"/>
  <c r="O174" i="10"/>
  <c r="O172" i="10"/>
  <c r="O105" i="10"/>
  <c r="O140" i="10"/>
  <c r="O164" i="10"/>
  <c r="O106" i="10"/>
  <c r="O154" i="10"/>
  <c r="O171" i="10"/>
  <c r="O133" i="10"/>
  <c r="O160" i="10"/>
  <c r="O129" i="10"/>
  <c r="O175" i="10"/>
  <c r="O161" i="10"/>
  <c r="O141" i="10"/>
  <c r="O180" i="10"/>
  <c r="O153" i="10"/>
  <c r="O155" i="10"/>
  <c r="O132" i="10"/>
  <c r="O165" i="10"/>
  <c r="O114" i="10"/>
  <c r="O78" i="10"/>
  <c r="O112" i="10"/>
  <c r="O179" i="10"/>
  <c r="O113" i="10"/>
  <c r="O177" i="10"/>
  <c r="O115" i="10"/>
  <c r="O137" i="10"/>
  <c r="O178" i="10"/>
  <c r="O156" i="10"/>
  <c r="T119" i="10"/>
  <c r="AC119" i="10"/>
  <c r="AH119" i="10" s="1"/>
  <c r="U68" i="10"/>
  <c r="AD68" i="10"/>
  <c r="U100" i="10"/>
  <c r="AD100" i="10"/>
  <c r="AC134" i="10"/>
  <c r="AH134" i="10" s="1"/>
  <c r="T134" i="10"/>
  <c r="AC101" i="10"/>
  <c r="AH101" i="10" s="1"/>
  <c r="T101" i="10"/>
  <c r="T66" i="10"/>
  <c r="AC66" i="10"/>
  <c r="AH66" i="10" s="1"/>
  <c r="Q60" i="14"/>
  <c r="H10" i="28"/>
  <c r="AD117" i="10"/>
  <c r="U117" i="10"/>
  <c r="U67" i="10"/>
  <c r="V67" i="10" s="1"/>
  <c r="AD67" i="10"/>
  <c r="AD109" i="10"/>
  <c r="U109" i="10"/>
  <c r="V109" i="10" s="1"/>
  <c r="AD85" i="10"/>
  <c r="U85" i="10"/>
  <c r="AS122" i="10"/>
  <c r="AR122" i="10"/>
  <c r="AQ122" i="10"/>
  <c r="U66" i="10"/>
  <c r="V66" i="10" s="1"/>
  <c r="AD66" i="10"/>
  <c r="AC85" i="10"/>
  <c r="AH85" i="10" s="1"/>
  <c r="T85" i="10"/>
  <c r="V85" i="10" s="1"/>
  <c r="AO90" i="10"/>
  <c r="AD84" i="10"/>
  <c r="U84" i="10"/>
  <c r="V84" i="10" s="1"/>
  <c r="AD110" i="10"/>
  <c r="U110" i="10"/>
  <c r="V110" i="10" s="1"/>
  <c r="AD149" i="10"/>
  <c r="U149" i="10"/>
  <c r="AC173" i="10"/>
  <c r="AH173" i="10" s="1"/>
  <c r="T173" i="10"/>
  <c r="AC184" i="10"/>
  <c r="AH184" i="10" s="1"/>
  <c r="T184" i="10"/>
  <c r="AC71" i="10"/>
  <c r="AH71" i="10" s="1"/>
  <c r="T71" i="10"/>
  <c r="U91" i="10"/>
  <c r="AD91" i="10"/>
  <c r="AD183" i="10"/>
  <c r="U183" i="10"/>
  <c r="V183" i="10" s="1"/>
  <c r="AC96" i="10"/>
  <c r="AH96" i="10" s="1"/>
  <c r="T96" i="10"/>
  <c r="AD108" i="10"/>
  <c r="U108" i="10"/>
  <c r="V108" i="10" s="1"/>
  <c r="T60" i="10"/>
  <c r="AC60" i="10"/>
  <c r="AH60" i="10" s="1"/>
  <c r="T87" i="10"/>
  <c r="AC87" i="10"/>
  <c r="AH87" i="10" s="1"/>
  <c r="AR97" i="10"/>
  <c r="AQ97" i="10"/>
  <c r="AS97" i="10"/>
  <c r="T168" i="10"/>
  <c r="AC168" i="10"/>
  <c r="AH168" i="10" s="1"/>
  <c r="AC69" i="10"/>
  <c r="AH69" i="10" s="1"/>
  <c r="T69" i="10"/>
  <c r="T163" i="10"/>
  <c r="AC163" i="10"/>
  <c r="AH163" i="10" s="1"/>
  <c r="AC92" i="10"/>
  <c r="AH92" i="10" s="1"/>
  <c r="T92" i="10"/>
  <c r="T169" i="10"/>
  <c r="AC169" i="10"/>
  <c r="AH169" i="10" s="1"/>
  <c r="AO102" i="10"/>
  <c r="AQ151" i="10"/>
  <c r="AS151" i="10"/>
  <c r="AR151" i="10"/>
  <c r="AD150" i="10"/>
  <c r="U150" i="10"/>
  <c r="AD96" i="10"/>
  <c r="U96" i="10"/>
  <c r="AR73" i="10"/>
  <c r="AQ73" i="10"/>
  <c r="AS73" i="10"/>
  <c r="AD64" i="10"/>
  <c r="U64" i="10"/>
  <c r="V64" i="10" s="1"/>
  <c r="AC127" i="10"/>
  <c r="AH127" i="10" s="1"/>
  <c r="T127" i="10"/>
  <c r="T146" i="10"/>
  <c r="AC146" i="10"/>
  <c r="AH146" i="10" s="1"/>
  <c r="AC158" i="10"/>
  <c r="AH158" i="10" s="1"/>
  <c r="T158" i="10"/>
  <c r="P58" i="14"/>
  <c r="P57" i="14" s="1"/>
  <c r="P56" i="14" s="1"/>
  <c r="P55" i="14" s="1"/>
  <c r="P54" i="14" s="1"/>
  <c r="P53" i="14" s="1"/>
  <c r="P52" i="14" s="1"/>
  <c r="P51" i="14" s="1"/>
  <c r="P50" i="14" s="1"/>
  <c r="P49" i="14" s="1"/>
  <c r="G8" i="28"/>
  <c r="T100" i="10"/>
  <c r="AC100" i="10"/>
  <c r="AH100" i="10" s="1"/>
  <c r="U79" i="10"/>
  <c r="V79" i="10" s="1"/>
  <c r="AD79" i="10"/>
  <c r="AO152" i="10"/>
  <c r="T61" i="10"/>
  <c r="AC61" i="10"/>
  <c r="AH61" i="10" s="1"/>
  <c r="AD69" i="10"/>
  <c r="U69" i="10"/>
  <c r="AC148" i="10"/>
  <c r="AH148" i="10" s="1"/>
  <c r="T148" i="10"/>
  <c r="AC95" i="10"/>
  <c r="AH95" i="10" s="1"/>
  <c r="T95" i="10"/>
  <c r="T70" i="10"/>
  <c r="AC70" i="10"/>
  <c r="AH70" i="10" s="1"/>
  <c r="U93" i="10"/>
  <c r="AD93" i="10"/>
  <c r="AD70" i="10"/>
  <c r="U70" i="10"/>
  <c r="U116" i="10"/>
  <c r="AD116" i="10"/>
  <c r="T116" i="10"/>
  <c r="AC116" i="10"/>
  <c r="AH116" i="10" s="1"/>
  <c r="AS62" i="10"/>
  <c r="AR62" i="10"/>
  <c r="AQ62" i="10"/>
  <c r="T159" i="10"/>
  <c r="AC159" i="10"/>
  <c r="AH159" i="10" s="1"/>
  <c r="AD173" i="10"/>
  <c r="U173" i="10"/>
  <c r="V173" i="10" s="1"/>
  <c r="T150" i="10"/>
  <c r="AC150" i="10"/>
  <c r="AH150" i="10" s="1"/>
  <c r="AO128" i="10"/>
  <c r="U81" i="10"/>
  <c r="V81" i="10" s="1"/>
  <c r="AD81" i="10"/>
  <c r="AD71" i="10"/>
  <c r="U71" i="10"/>
  <c r="AC118" i="10"/>
  <c r="AH118" i="10" s="1"/>
  <c r="T118" i="10"/>
  <c r="AS77" i="10"/>
  <c r="AR77" i="10"/>
  <c r="AQ77" i="10"/>
  <c r="AC86" i="10"/>
  <c r="AH86" i="10" s="1"/>
  <c r="T86" i="10"/>
  <c r="AD134" i="10"/>
  <c r="U134" i="10"/>
  <c r="V134" i="10" s="1"/>
  <c r="AD168" i="10"/>
  <c r="U168" i="10"/>
  <c r="V168" i="10" s="1"/>
  <c r="AC110" i="10"/>
  <c r="AH110" i="10" s="1"/>
  <c r="T110" i="10"/>
  <c r="AC138" i="10"/>
  <c r="AH138" i="10" s="1"/>
  <c r="T138" i="10"/>
  <c r="T117" i="10"/>
  <c r="AC117" i="10"/>
  <c r="AH117" i="10" s="1"/>
  <c r="AD95" i="10"/>
  <c r="U95" i="10"/>
  <c r="AD136" i="10"/>
  <c r="U136" i="10"/>
  <c r="V136" i="10" s="1"/>
  <c r="AD98" i="10"/>
  <c r="U98" i="10"/>
  <c r="AD127" i="10"/>
  <c r="U127" i="10"/>
  <c r="T135" i="10"/>
  <c r="AC135" i="10"/>
  <c r="AH135" i="10" s="1"/>
  <c r="U145" i="10"/>
  <c r="V145" i="10" s="1"/>
  <c r="AD145" i="10"/>
  <c r="AD86" i="10"/>
  <c r="U86" i="10"/>
  <c r="AD182" i="10"/>
  <c r="U182" i="10"/>
  <c r="V182" i="10" s="1"/>
  <c r="T145" i="10"/>
  <c r="AC145" i="10"/>
  <c r="AH145" i="10" s="1"/>
  <c r="U83" i="10"/>
  <c r="V83" i="10" s="1"/>
  <c r="AD83" i="10"/>
  <c r="AD118" i="10"/>
  <c r="U118" i="10"/>
  <c r="AC182" i="10"/>
  <c r="AH182" i="10" s="1"/>
  <c r="T182" i="10"/>
  <c r="T79" i="10"/>
  <c r="AC79" i="10"/>
  <c r="AH79" i="10" s="1"/>
  <c r="AR89" i="10"/>
  <c r="AS89" i="10"/>
  <c r="AQ89" i="10"/>
  <c r="T82" i="10"/>
  <c r="AC82" i="10"/>
  <c r="AH82" i="10" s="1"/>
  <c r="AC80" i="10"/>
  <c r="AH80" i="10" s="1"/>
  <c r="T80" i="10"/>
  <c r="AC83" i="10"/>
  <c r="AH83" i="10" s="1"/>
  <c r="T83" i="10"/>
  <c r="U163" i="10"/>
  <c r="AD163" i="10"/>
  <c r="AD158" i="10"/>
  <c r="U158" i="10"/>
  <c r="V158" i="10" s="1"/>
  <c r="AD148" i="10"/>
  <c r="U148" i="10"/>
  <c r="AO170" i="10"/>
  <c r="AO76" i="10"/>
  <c r="U82" i="10"/>
  <c r="V82" i="10" s="1"/>
  <c r="AD82" i="10"/>
  <c r="AC126" i="10"/>
  <c r="AH126" i="10" s="1"/>
  <c r="T126" i="10"/>
  <c r="U80" i="10"/>
  <c r="AD80" i="10"/>
  <c r="T185" i="10"/>
  <c r="AC185" i="10"/>
  <c r="AH185" i="10" s="1"/>
  <c r="AC147" i="10"/>
  <c r="AH147" i="10" s="1"/>
  <c r="T147" i="10"/>
  <c r="AC136" i="10"/>
  <c r="AH136" i="10" s="1"/>
  <c r="T136" i="10"/>
  <c r="AC183" i="10"/>
  <c r="AH183" i="10" s="1"/>
  <c r="T183" i="10"/>
  <c r="T68" i="10"/>
  <c r="AC68" i="10"/>
  <c r="AH68" i="10" s="1"/>
  <c r="R60" i="14"/>
  <c r="I10" i="28"/>
  <c r="B40" i="28" s="1"/>
  <c r="AD87" i="10"/>
  <c r="U87" i="10"/>
  <c r="U126" i="10"/>
  <c r="V126" i="10" s="1"/>
  <c r="AD126" i="10"/>
  <c r="AD101" i="10"/>
  <c r="U101" i="10"/>
  <c r="T81" i="10"/>
  <c r="AC81" i="10"/>
  <c r="AH81" i="10" s="1"/>
  <c r="AC149" i="10"/>
  <c r="AH149" i="10" s="1"/>
  <c r="T149" i="10"/>
  <c r="V149" i="10" s="1"/>
  <c r="T162" i="10"/>
  <c r="AC162" i="10"/>
  <c r="AH162" i="10" s="1"/>
  <c r="AD138" i="10"/>
  <c r="U138" i="10"/>
  <c r="V138" i="10" s="1"/>
  <c r="U72" i="10"/>
  <c r="AD72" i="10"/>
  <c r="U162" i="10"/>
  <c r="V162" i="10" s="1"/>
  <c r="AD162" i="10"/>
  <c r="AC93" i="10"/>
  <c r="AH93" i="10" s="1"/>
  <c r="T93" i="10"/>
  <c r="V93" i="10" s="1"/>
  <c r="T63" i="10"/>
  <c r="AC63" i="10"/>
  <c r="AH63" i="10" s="1"/>
  <c r="AC107" i="10"/>
  <c r="AH107" i="10" s="1"/>
  <c r="T107" i="10"/>
  <c r="AO121" i="10"/>
  <c r="U135" i="10"/>
  <c r="V135" i="10" s="1"/>
  <c r="AD135" i="10"/>
  <c r="U169" i="10"/>
  <c r="AD169" i="10"/>
  <c r="AD184" i="10"/>
  <c r="U184" i="10"/>
  <c r="U61" i="10"/>
  <c r="AD61" i="10"/>
  <c r="T91" i="10"/>
  <c r="AC91" i="10"/>
  <c r="AH91" i="10" s="1"/>
  <c r="AC67" i="10"/>
  <c r="AH67" i="10" s="1"/>
  <c r="T67" i="10"/>
  <c r="T84" i="10"/>
  <c r="AC84" i="10"/>
  <c r="AH84" i="10" s="1"/>
  <c r="P177" i="10"/>
  <c r="P114" i="10"/>
  <c r="P160" i="10"/>
  <c r="P175" i="10"/>
  <c r="P130" i="10"/>
  <c r="P155" i="10"/>
  <c r="P112" i="10"/>
  <c r="P181" i="10"/>
  <c r="P172" i="10"/>
  <c r="P154" i="10"/>
  <c r="P129" i="10"/>
  <c r="P137" i="10"/>
  <c r="P167" i="10"/>
  <c r="P140" i="10"/>
  <c r="P178" i="10"/>
  <c r="P113" i="10"/>
  <c r="P103" i="10"/>
  <c r="P165" i="10"/>
  <c r="P131" i="10"/>
  <c r="P141" i="10"/>
  <c r="P111" i="10"/>
  <c r="P161" i="10"/>
  <c r="P179" i="10"/>
  <c r="P156" i="10"/>
  <c r="P124" i="10"/>
  <c r="P104" i="10"/>
  <c r="P125" i="10"/>
  <c r="P105" i="10"/>
  <c r="P171" i="10"/>
  <c r="P164" i="10"/>
  <c r="P180" i="10"/>
  <c r="P142" i="10"/>
  <c r="P166" i="10"/>
  <c r="P132" i="10"/>
  <c r="P123" i="10"/>
  <c r="P143" i="10"/>
  <c r="P174" i="10"/>
  <c r="P133" i="10"/>
  <c r="P139" i="10"/>
  <c r="P115" i="10"/>
  <c r="P176" i="10"/>
  <c r="P153" i="10"/>
  <c r="P78" i="10"/>
  <c r="P157" i="10"/>
  <c r="P144" i="10"/>
  <c r="P106" i="10"/>
  <c r="U63" i="10"/>
  <c r="V63" i="10" s="1"/>
  <c r="AD63" i="10"/>
  <c r="AD92" i="10"/>
  <c r="U92" i="10"/>
  <c r="AS187" i="10" l="1"/>
  <c r="V150" i="10"/>
  <c r="V169" i="10"/>
  <c r="V96" i="10"/>
  <c r="G5" i="6"/>
  <c r="G72" i="6" s="1"/>
  <c r="H5" i="4"/>
  <c r="H151" i="4" s="1"/>
  <c r="H5" i="7"/>
  <c r="H10" i="7" s="1"/>
  <c r="H5" i="5"/>
  <c r="H14" i="5" s="1"/>
  <c r="B43" i="28"/>
  <c r="B44" i="28"/>
  <c r="V127" i="10"/>
  <c r="V91" i="10"/>
  <c r="V80" i="10"/>
  <c r="V70" i="10"/>
  <c r="V92" i="10"/>
  <c r="V163" i="10"/>
  <c r="AR88" i="10"/>
  <c r="AS88" i="10"/>
  <c r="V71" i="10"/>
  <c r="V98" i="10"/>
  <c r="B21" i="18"/>
  <c r="U115" i="10"/>
  <c r="V115" i="10" s="1"/>
  <c r="AD115" i="10"/>
  <c r="AI126" i="10"/>
  <c r="AM126" i="10" s="1"/>
  <c r="AN126" i="10" s="1"/>
  <c r="AO126" i="10" s="1"/>
  <c r="AL126" i="10"/>
  <c r="U133" i="10"/>
  <c r="V133" i="10" s="1"/>
  <c r="AD133" i="10"/>
  <c r="AQ90" i="10"/>
  <c r="AS90" i="10"/>
  <c r="AR90" i="10"/>
  <c r="AC155" i="10"/>
  <c r="AH155" i="10" s="1"/>
  <c r="T155" i="10"/>
  <c r="T166" i="10"/>
  <c r="AC166" i="10"/>
  <c r="AH166" i="10" s="1"/>
  <c r="AI108" i="10"/>
  <c r="AM108" i="10" s="1"/>
  <c r="AN108" i="10" s="1"/>
  <c r="AO108" i="10" s="1"/>
  <c r="AL108" i="10"/>
  <c r="AD139" i="10"/>
  <c r="U139" i="10"/>
  <c r="V139" i="10" s="1"/>
  <c r="T139" i="10"/>
  <c r="AC139" i="10"/>
  <c r="AH139" i="10" s="1"/>
  <c r="U123" i="10"/>
  <c r="V123" i="10" s="1"/>
  <c r="AD123" i="10"/>
  <c r="AC153" i="10"/>
  <c r="AH153" i="10" s="1"/>
  <c r="T153" i="10"/>
  <c r="T181" i="10"/>
  <c r="AC181" i="10"/>
  <c r="AH181" i="10" s="1"/>
  <c r="AL98" i="10"/>
  <c r="AI98" i="10"/>
  <c r="AM98" i="10" s="1"/>
  <c r="V72" i="10"/>
  <c r="AL66" i="10"/>
  <c r="AI66" i="10"/>
  <c r="AM66" i="10" s="1"/>
  <c r="AN66" i="10" s="1"/>
  <c r="AO66" i="10" s="1"/>
  <c r="T180" i="10"/>
  <c r="AC180" i="10"/>
  <c r="AH180" i="10" s="1"/>
  <c r="AC104" i="10"/>
  <c r="AH104" i="10" s="1"/>
  <c r="T104" i="10"/>
  <c r="AL72" i="10"/>
  <c r="AI72" i="10"/>
  <c r="AM72" i="10" s="1"/>
  <c r="AC114" i="10"/>
  <c r="AH114" i="10" s="1"/>
  <c r="T114" i="10"/>
  <c r="AD140" i="10"/>
  <c r="U140" i="10"/>
  <c r="V140" i="10" s="1"/>
  <c r="AD167" i="10"/>
  <c r="U167" i="10"/>
  <c r="V167" i="10" s="1"/>
  <c r="AQ170" i="10"/>
  <c r="AS170" i="10"/>
  <c r="AR170" i="10"/>
  <c r="T141" i="10"/>
  <c r="AC141" i="10"/>
  <c r="AH141" i="10" s="1"/>
  <c r="AC157" i="10"/>
  <c r="AH157" i="10" s="1"/>
  <c r="T157" i="10"/>
  <c r="AC179" i="10"/>
  <c r="AH179" i="10" s="1"/>
  <c r="T179" i="10"/>
  <c r="U165" i="10"/>
  <c r="V165" i="10" s="1"/>
  <c r="AD165" i="10"/>
  <c r="AC144" i="10"/>
  <c r="AH144" i="10" s="1"/>
  <c r="T144" i="10"/>
  <c r="AL163" i="10"/>
  <c r="AI163" i="10"/>
  <c r="AM163" i="10" s="1"/>
  <c r="AD178" i="10"/>
  <c r="U178" i="10"/>
  <c r="V178" i="10" s="1"/>
  <c r="AI182" i="10"/>
  <c r="AM182" i="10" s="1"/>
  <c r="AN182" i="10" s="1"/>
  <c r="AO182" i="10" s="1"/>
  <c r="AL182" i="10"/>
  <c r="AC161" i="10"/>
  <c r="AH161" i="10" s="1"/>
  <c r="T161" i="10"/>
  <c r="AC131" i="10"/>
  <c r="AH131" i="10" s="1"/>
  <c r="T131" i="10"/>
  <c r="T125" i="10"/>
  <c r="AC125" i="10"/>
  <c r="AH125" i="10" s="1"/>
  <c r="U141" i="10"/>
  <c r="V141" i="10" s="1"/>
  <c r="AD141" i="10"/>
  <c r="T78" i="10"/>
  <c r="AC78" i="10"/>
  <c r="AH78" i="10" s="1"/>
  <c r="AI127" i="10"/>
  <c r="AM127" i="10" s="1"/>
  <c r="AL127" i="10"/>
  <c r="AC123" i="10"/>
  <c r="AH123" i="10" s="1"/>
  <c r="T123" i="10"/>
  <c r="V61" i="10"/>
  <c r="AD132" i="10"/>
  <c r="U132" i="10"/>
  <c r="V132" i="10" s="1"/>
  <c r="AD154" i="10"/>
  <c r="U154" i="10"/>
  <c r="AL86" i="10"/>
  <c r="AI86" i="10"/>
  <c r="AM86" i="10" s="1"/>
  <c r="AL100" i="10"/>
  <c r="AI100" i="10"/>
  <c r="AM100" i="10" s="1"/>
  <c r="T143" i="10"/>
  <c r="AC143" i="10"/>
  <c r="AH143" i="10" s="1"/>
  <c r="AD180" i="10"/>
  <c r="U180" i="10"/>
  <c r="V180" i="10" s="1"/>
  <c r="AD181" i="10"/>
  <c r="U181" i="10"/>
  <c r="V181" i="10" s="1"/>
  <c r="V68" i="10"/>
  <c r="V116" i="10"/>
  <c r="V100" i="10"/>
  <c r="V69" i="10"/>
  <c r="V184" i="10"/>
  <c r="AC129" i="10"/>
  <c r="AH129" i="10" s="1"/>
  <c r="T129" i="10"/>
  <c r="AC167" i="10"/>
  <c r="AH167" i="10" s="1"/>
  <c r="T167" i="10"/>
  <c r="AL91" i="10"/>
  <c r="AI91" i="10"/>
  <c r="AM91" i="10" s="1"/>
  <c r="U131" i="10"/>
  <c r="V131" i="10" s="1"/>
  <c r="AD131" i="10"/>
  <c r="AC103" i="10"/>
  <c r="AH103" i="10" s="1"/>
  <c r="T103" i="10"/>
  <c r="U103" i="10"/>
  <c r="V103" i="10" s="1"/>
  <c r="AD103" i="10"/>
  <c r="T165" i="10"/>
  <c r="AC165" i="10"/>
  <c r="AH165" i="10" s="1"/>
  <c r="AL159" i="10"/>
  <c r="AI159" i="10"/>
  <c r="AM159" i="10" s="1"/>
  <c r="AN159" i="10" s="1"/>
  <c r="AO159" i="10" s="1"/>
  <c r="U137" i="10"/>
  <c r="V137" i="10" s="1"/>
  <c r="AD137" i="10"/>
  <c r="AD172" i="10"/>
  <c r="U172" i="10"/>
  <c r="V172" i="10" s="1"/>
  <c r="U164" i="10"/>
  <c r="V164" i="10" s="1"/>
  <c r="AD164" i="10"/>
  <c r="AD112" i="10"/>
  <c r="U112" i="10"/>
  <c r="V112" i="10" s="1"/>
  <c r="AQ121" i="10"/>
  <c r="AR121" i="10"/>
  <c r="AS121" i="10"/>
  <c r="AL69" i="10"/>
  <c r="AI69" i="10"/>
  <c r="AM69" i="10" s="1"/>
  <c r="AI184" i="10"/>
  <c r="AM184" i="10" s="1"/>
  <c r="AL184" i="10"/>
  <c r="AC160" i="10"/>
  <c r="AH160" i="10" s="1"/>
  <c r="T160" i="10"/>
  <c r="AC130" i="10"/>
  <c r="AH130" i="10" s="1"/>
  <c r="T130" i="10"/>
  <c r="AI148" i="10"/>
  <c r="AM148" i="10" s="1"/>
  <c r="AL148" i="10"/>
  <c r="T112" i="10"/>
  <c r="AC112" i="10"/>
  <c r="AH112" i="10" s="1"/>
  <c r="AI61" i="10"/>
  <c r="AM61" i="10" s="1"/>
  <c r="AL61" i="10"/>
  <c r="AQ152" i="10"/>
  <c r="AS152" i="10"/>
  <c r="AR152" i="10"/>
  <c r="AI116" i="10"/>
  <c r="AM116" i="10" s="1"/>
  <c r="AL116" i="10"/>
  <c r="AC175" i="10"/>
  <c r="AH175" i="10" s="1"/>
  <c r="T175" i="10"/>
  <c r="U171" i="10"/>
  <c r="V171" i="10" s="1"/>
  <c r="AD171" i="10"/>
  <c r="AL168" i="10"/>
  <c r="AI168" i="10"/>
  <c r="AM168" i="10" s="1"/>
  <c r="AN168" i="10" s="1"/>
  <c r="AO168" i="10" s="1"/>
  <c r="AL119" i="10"/>
  <c r="AI119" i="10"/>
  <c r="AM119" i="10" s="1"/>
  <c r="T133" i="10"/>
  <c r="AC133" i="10"/>
  <c r="AH133" i="10" s="1"/>
  <c r="T142" i="10"/>
  <c r="AC142" i="10"/>
  <c r="AH142" i="10" s="1"/>
  <c r="V101" i="10"/>
  <c r="AC132" i="10"/>
  <c r="AH132" i="10" s="1"/>
  <c r="T132" i="10"/>
  <c r="AS76" i="10"/>
  <c r="AR76" i="10"/>
  <c r="AQ76" i="10"/>
  <c r="AD142" i="10"/>
  <c r="U142" i="10"/>
  <c r="V142" i="10" s="1"/>
  <c r="AI68" i="10"/>
  <c r="AM68" i="10" s="1"/>
  <c r="AL68" i="10"/>
  <c r="U155" i="10"/>
  <c r="AD155" i="10"/>
  <c r="AI183" i="10"/>
  <c r="AM183" i="10" s="1"/>
  <c r="AN183" i="10" s="1"/>
  <c r="AO183" i="10" s="1"/>
  <c r="AL183" i="10"/>
  <c r="U105" i="10"/>
  <c r="V105" i="10" s="1"/>
  <c r="AD105" i="10"/>
  <c r="AD130" i="10"/>
  <c r="U130" i="10"/>
  <c r="V130" i="10" s="1"/>
  <c r="AI162" i="10"/>
  <c r="AM162" i="10" s="1"/>
  <c r="AN162" i="10" s="1"/>
  <c r="AO162" i="10" s="1"/>
  <c r="AL162" i="10"/>
  <c r="AI83" i="10"/>
  <c r="AM83" i="10" s="1"/>
  <c r="AN83" i="10" s="1"/>
  <c r="AO83" i="10" s="1"/>
  <c r="AL83" i="10"/>
  <c r="AL173" i="10"/>
  <c r="AI173" i="10"/>
  <c r="AM173" i="10" s="1"/>
  <c r="AN173" i="10" s="1"/>
  <c r="AO173" i="10" s="1"/>
  <c r="V119" i="10"/>
  <c r="T171" i="10"/>
  <c r="AC171" i="10"/>
  <c r="AH171" i="10" s="1"/>
  <c r="T124" i="10"/>
  <c r="AC124" i="10"/>
  <c r="AH124" i="10" s="1"/>
  <c r="T174" i="10"/>
  <c r="AC174" i="10"/>
  <c r="AH174" i="10" s="1"/>
  <c r="AS128" i="10"/>
  <c r="AQ128" i="10"/>
  <c r="AR128" i="10"/>
  <c r="AL150" i="10"/>
  <c r="AI150" i="10"/>
  <c r="AM150" i="10" s="1"/>
  <c r="AI134" i="10"/>
  <c r="AM134" i="10" s="1"/>
  <c r="AN134" i="10" s="1"/>
  <c r="AO134" i="10" s="1"/>
  <c r="AL134" i="10"/>
  <c r="AD129" i="10"/>
  <c r="U129" i="10"/>
  <c r="V129" i="10" s="1"/>
  <c r="AD175" i="10"/>
  <c r="U175" i="10"/>
  <c r="V175" i="10" s="1"/>
  <c r="AI136" i="10"/>
  <c r="AM136" i="10" s="1"/>
  <c r="AN136" i="10" s="1"/>
  <c r="AO136" i="10" s="1"/>
  <c r="AL136" i="10"/>
  <c r="V118" i="10"/>
  <c r="AC154" i="10"/>
  <c r="AH154" i="10" s="1"/>
  <c r="T154" i="10"/>
  <c r="AC176" i="10"/>
  <c r="AH176" i="10" s="1"/>
  <c r="T176" i="10"/>
  <c r="AD104" i="10"/>
  <c r="U104" i="10"/>
  <c r="V104" i="10" s="1"/>
  <c r="U160" i="10"/>
  <c r="V160" i="10" s="1"/>
  <c r="AD160" i="10"/>
  <c r="AI107" i="10"/>
  <c r="AM107" i="10" s="1"/>
  <c r="AN107" i="10" s="1"/>
  <c r="AO107" i="10" s="1"/>
  <c r="AL107" i="10"/>
  <c r="AL80" i="10"/>
  <c r="AI80" i="10"/>
  <c r="AM80" i="10" s="1"/>
  <c r="AL118" i="10"/>
  <c r="AI118" i="10"/>
  <c r="AM118" i="10" s="1"/>
  <c r="AC106" i="10"/>
  <c r="AH106" i="10" s="1"/>
  <c r="T106" i="10"/>
  <c r="T111" i="10"/>
  <c r="AC111" i="10"/>
  <c r="AH111" i="10" s="1"/>
  <c r="AL96" i="10"/>
  <c r="AI96" i="10"/>
  <c r="AM96" i="10" s="1"/>
  <c r="AI79" i="10"/>
  <c r="AM79" i="10" s="1"/>
  <c r="AN79" i="10" s="1"/>
  <c r="AO79" i="10" s="1"/>
  <c r="AL79" i="10"/>
  <c r="U143" i="10"/>
  <c r="V143" i="10" s="1"/>
  <c r="AD143" i="10"/>
  <c r="U166" i="10"/>
  <c r="V166" i="10" s="1"/>
  <c r="AD166" i="10"/>
  <c r="AD125" i="10"/>
  <c r="U125" i="10"/>
  <c r="V125" i="10" s="1"/>
  <c r="AI158" i="10"/>
  <c r="AM158" i="10" s="1"/>
  <c r="AN158" i="10" s="1"/>
  <c r="AO158" i="10" s="1"/>
  <c r="AL158" i="10"/>
  <c r="AD124" i="10"/>
  <c r="U124" i="10"/>
  <c r="V124" i="10" s="1"/>
  <c r="U114" i="10"/>
  <c r="V114" i="10" s="1"/>
  <c r="AD114" i="10"/>
  <c r="AI63" i="10"/>
  <c r="AM63" i="10" s="1"/>
  <c r="AN63" i="10" s="1"/>
  <c r="AO63" i="10" s="1"/>
  <c r="AL63" i="10"/>
  <c r="AI149" i="10"/>
  <c r="AM149" i="10" s="1"/>
  <c r="AL149" i="10"/>
  <c r="AI147" i="10"/>
  <c r="AM147" i="10" s="1"/>
  <c r="AN147" i="10" s="1"/>
  <c r="AO147" i="10" s="1"/>
  <c r="AL147" i="10"/>
  <c r="AL82" i="10"/>
  <c r="AI82" i="10"/>
  <c r="AM82" i="10" s="1"/>
  <c r="AN82" i="10" s="1"/>
  <c r="AO82" i="10" s="1"/>
  <c r="AI146" i="10"/>
  <c r="AM146" i="10" s="1"/>
  <c r="AN146" i="10" s="1"/>
  <c r="AO146" i="10" s="1"/>
  <c r="AL146" i="10"/>
  <c r="T156" i="10"/>
  <c r="AC156" i="10"/>
  <c r="AH156" i="10" s="1"/>
  <c r="AC164" i="10"/>
  <c r="AH164" i="10" s="1"/>
  <c r="T164" i="10"/>
  <c r="AI109" i="10"/>
  <c r="AM109" i="10" s="1"/>
  <c r="AN109" i="10" s="1"/>
  <c r="AO109" i="10" s="1"/>
  <c r="AL109" i="10"/>
  <c r="AD176" i="10"/>
  <c r="U176" i="10"/>
  <c r="V176" i="10" s="1"/>
  <c r="AL101" i="10"/>
  <c r="AI101" i="10"/>
  <c r="AM101" i="10" s="1"/>
  <c r="AI71" i="10"/>
  <c r="AM71" i="10" s="1"/>
  <c r="AL71" i="10"/>
  <c r="U177" i="10"/>
  <c r="V177" i="10" s="1"/>
  <c r="AD177" i="10"/>
  <c r="AI81" i="10"/>
  <c r="AM81" i="10" s="1"/>
  <c r="AN81" i="10" s="1"/>
  <c r="AO81" i="10" s="1"/>
  <c r="AL81" i="10"/>
  <c r="AI70" i="10"/>
  <c r="AM70" i="10" s="1"/>
  <c r="AL70" i="10"/>
  <c r="AL87" i="10"/>
  <c r="AI87" i="10"/>
  <c r="AM87" i="10" s="1"/>
  <c r="T178" i="10"/>
  <c r="AC178" i="10"/>
  <c r="AH178" i="10" s="1"/>
  <c r="AC140" i="10"/>
  <c r="AH140" i="10" s="1"/>
  <c r="T140" i="10"/>
  <c r="AL85" i="10"/>
  <c r="AI85" i="10"/>
  <c r="AM85" i="10" s="1"/>
  <c r="V86" i="10"/>
  <c r="AD106" i="10"/>
  <c r="U106" i="10"/>
  <c r="V106" i="10" s="1"/>
  <c r="AI185" i="10"/>
  <c r="AM185" i="10" s="1"/>
  <c r="AL185" i="10"/>
  <c r="V87" i="10"/>
  <c r="AC137" i="10"/>
  <c r="AH137" i="10" s="1"/>
  <c r="T137" i="10"/>
  <c r="AI138" i="10"/>
  <c r="AM138" i="10" s="1"/>
  <c r="AN138" i="10" s="1"/>
  <c r="AO138" i="10" s="1"/>
  <c r="AL138" i="10"/>
  <c r="AI110" i="10"/>
  <c r="AM110" i="10" s="1"/>
  <c r="AN110" i="10" s="1"/>
  <c r="AO110" i="10" s="1"/>
  <c r="AL110" i="10"/>
  <c r="AD113" i="10"/>
  <c r="U113" i="10"/>
  <c r="V113" i="10" s="1"/>
  <c r="U174" i="10"/>
  <c r="V174" i="10" s="1"/>
  <c r="AD174" i="10"/>
  <c r="U144" i="10"/>
  <c r="V144" i="10" s="1"/>
  <c r="AD144" i="10"/>
  <c r="V95" i="10"/>
  <c r="AL60" i="10"/>
  <c r="AI60" i="10"/>
  <c r="AM60" i="10" s="1"/>
  <c r="AN60" i="10" s="1"/>
  <c r="AO60" i="10" s="1"/>
  <c r="AC115" i="10"/>
  <c r="AH115" i="10" s="1"/>
  <c r="T115" i="10"/>
  <c r="T105" i="10"/>
  <c r="AC105" i="10"/>
  <c r="AH105" i="10" s="1"/>
  <c r="AD157" i="10"/>
  <c r="U157" i="10"/>
  <c r="V157" i="10" s="1"/>
  <c r="AL117" i="10"/>
  <c r="AI117" i="10"/>
  <c r="AM117" i="10" s="1"/>
  <c r="AI95" i="10"/>
  <c r="AM95" i="10" s="1"/>
  <c r="AL95" i="10"/>
  <c r="AR102" i="10"/>
  <c r="AS102" i="10"/>
  <c r="AQ102" i="10"/>
  <c r="T177" i="10"/>
  <c r="AC177" i="10"/>
  <c r="AH177" i="10" s="1"/>
  <c r="AC172" i="10"/>
  <c r="AH172" i="10" s="1"/>
  <c r="T172" i="10"/>
  <c r="AR75" i="10"/>
  <c r="AS75" i="10"/>
  <c r="AQ75" i="10"/>
  <c r="U153" i="10"/>
  <c r="AD153" i="10"/>
  <c r="AL92" i="10"/>
  <c r="AI92" i="10"/>
  <c r="AM92" i="10" s="1"/>
  <c r="AI65" i="10"/>
  <c r="AM65" i="10" s="1"/>
  <c r="AN65" i="10" s="1"/>
  <c r="AO65" i="10" s="1"/>
  <c r="AL65" i="10"/>
  <c r="AI135" i="10"/>
  <c r="AM135" i="10" s="1"/>
  <c r="AN135" i="10" s="1"/>
  <c r="AO135" i="10" s="1"/>
  <c r="AL135" i="10"/>
  <c r="I9" i="28"/>
  <c r="R59" i="14"/>
  <c r="U156" i="10"/>
  <c r="V156" i="10" s="1"/>
  <c r="AD156" i="10"/>
  <c r="AD179" i="10"/>
  <c r="U179" i="10"/>
  <c r="V179" i="10" s="1"/>
  <c r="AL84" i="10"/>
  <c r="AI84" i="10"/>
  <c r="AM84" i="10" s="1"/>
  <c r="AN84" i="10" s="1"/>
  <c r="AO84" i="10" s="1"/>
  <c r="U161" i="10"/>
  <c r="V161" i="10" s="1"/>
  <c r="AD161" i="10"/>
  <c r="AI93" i="10"/>
  <c r="AM93" i="10" s="1"/>
  <c r="AL93" i="10"/>
  <c r="V185" i="10"/>
  <c r="U111" i="10"/>
  <c r="V111" i="10" s="1"/>
  <c r="AD111" i="10"/>
  <c r="U78" i="10"/>
  <c r="V78" i="10" s="1"/>
  <c r="AD78" i="10"/>
  <c r="AI67" i="10"/>
  <c r="AM67" i="10" s="1"/>
  <c r="AN67" i="10" s="1"/>
  <c r="AO67" i="10" s="1"/>
  <c r="AL67" i="10"/>
  <c r="AI145" i="10"/>
  <c r="AM145" i="10" s="1"/>
  <c r="AN145" i="10" s="1"/>
  <c r="AO145" i="10" s="1"/>
  <c r="AL145" i="10"/>
  <c r="V117" i="10"/>
  <c r="V148" i="10"/>
  <c r="AL169" i="10"/>
  <c r="AI169" i="10"/>
  <c r="AM169" i="10" s="1"/>
  <c r="Q59" i="14"/>
  <c r="H9" i="28"/>
  <c r="AC113" i="10"/>
  <c r="AH113" i="10" s="1"/>
  <c r="T113" i="10"/>
  <c r="AI64" i="10"/>
  <c r="AM64" i="10" s="1"/>
  <c r="AN64" i="10" s="1"/>
  <c r="AO64" i="10" s="1"/>
  <c r="AL64" i="10"/>
  <c r="G244" i="6"/>
  <c r="G390" i="6"/>
  <c r="G256" i="6"/>
  <c r="G387" i="6"/>
  <c r="G518" i="6"/>
  <c r="G64" i="6"/>
  <c r="G25" i="6"/>
  <c r="G18" i="6"/>
  <c r="G529" i="6"/>
  <c r="G181" i="6"/>
  <c r="G219" i="6"/>
  <c r="G104" i="6"/>
  <c r="G475" i="6"/>
  <c r="G27" i="6"/>
  <c r="G141" i="6"/>
  <c r="G71" i="6"/>
  <c r="G411" i="6"/>
  <c r="G531" i="6"/>
  <c r="G378" i="6"/>
  <c r="G90" i="6"/>
  <c r="G415" i="6"/>
  <c r="G121" i="6"/>
  <c r="G150" i="6"/>
  <c r="G462" i="6"/>
  <c r="G396" i="6"/>
  <c r="G313" i="6"/>
  <c r="G495" i="6"/>
  <c r="G476" i="6"/>
  <c r="G368" i="6"/>
  <c r="G52" i="6"/>
  <c r="G73" i="6"/>
  <c r="G162" i="6"/>
  <c r="G82" i="6"/>
  <c r="G314" i="6"/>
  <c r="G127" i="6"/>
  <c r="G223" i="6"/>
  <c r="G281" i="6"/>
  <c r="G357" i="6"/>
  <c r="G85" i="6"/>
  <c r="G243" i="6"/>
  <c r="G293" i="6"/>
  <c r="G438" i="6"/>
  <c r="G419" i="6"/>
  <c r="G41" i="6"/>
  <c r="G372" i="6"/>
  <c r="G505" i="6"/>
  <c r="G294" i="6"/>
  <c r="G214" i="6"/>
  <c r="G106" i="6"/>
  <c r="G186" i="6"/>
  <c r="G323" i="6"/>
  <c r="G474" i="6"/>
  <c r="G206" i="6"/>
  <c r="G354" i="6"/>
  <c r="G215" i="6"/>
  <c r="G275" i="6"/>
  <c r="G76" i="6"/>
  <c r="G79" i="6"/>
  <c r="G550" i="6"/>
  <c r="G284" i="6"/>
  <c r="G547" i="6"/>
  <c r="G265" i="6"/>
  <c r="G484" i="6"/>
  <c r="G506" i="6"/>
  <c r="G295" i="6"/>
  <c r="G190" i="6"/>
  <c r="G30" i="6"/>
  <c r="G53" i="6"/>
  <c r="G204" i="6"/>
  <c r="G339" i="6"/>
  <c r="G290" i="6"/>
  <c r="G143" i="6"/>
  <c r="G132" i="6"/>
  <c r="G533" i="6"/>
  <c r="G289" i="6"/>
  <c r="G117" i="6"/>
  <c r="G478" i="6"/>
  <c r="G490" i="6"/>
  <c r="G22" i="6"/>
  <c r="G522" i="6"/>
  <c r="G74" i="6"/>
  <c r="G488" i="6"/>
  <c r="G280" i="6"/>
  <c r="G320" i="6"/>
  <c r="G485" i="6"/>
  <c r="G292" i="6"/>
  <c r="G211" i="6"/>
  <c r="G482" i="6"/>
  <c r="G277" i="6"/>
  <c r="G251" i="6"/>
  <c r="G103" i="6"/>
  <c r="G38" i="6"/>
  <c r="G69" i="6"/>
  <c r="G326" i="6"/>
  <c r="G227" i="6"/>
  <c r="G329" i="6"/>
  <c r="G272" i="6"/>
  <c r="G81" i="6"/>
  <c r="G472" i="6"/>
  <c r="G178" i="6"/>
  <c r="G252" i="6"/>
  <c r="G524" i="6"/>
  <c r="G400" i="6"/>
  <c r="G353" i="6"/>
  <c r="G267" i="6"/>
  <c r="G59" i="6"/>
  <c r="G394" i="6"/>
  <c r="G271" i="6"/>
  <c r="G235" i="6"/>
  <c r="G28" i="6"/>
  <c r="G330" i="6"/>
  <c r="G133" i="6"/>
  <c r="G140" i="6"/>
  <c r="G36" i="6"/>
  <c r="G47" i="6"/>
  <c r="G310" i="6"/>
  <c r="G389" i="6"/>
  <c r="G334" i="6"/>
  <c r="G31" i="6"/>
  <c r="G84" i="6"/>
  <c r="G89" i="6"/>
  <c r="G58" i="6"/>
  <c r="G160" i="6"/>
  <c r="G110" i="6"/>
  <c r="G442" i="6"/>
  <c r="G88" i="6"/>
  <c r="G454" i="6"/>
  <c r="G120" i="6"/>
  <c r="G129" i="6"/>
  <c r="G7" i="6"/>
  <c r="G355" i="6"/>
  <c r="G300" i="6"/>
  <c r="G171" i="6"/>
  <c r="G224" i="6"/>
  <c r="G416" i="6"/>
  <c r="G195" i="6"/>
  <c r="G15" i="6"/>
  <c r="G291" i="6"/>
  <c r="G128" i="6"/>
  <c r="G189" i="6"/>
  <c r="G446" i="6"/>
  <c r="G101" i="6"/>
  <c r="G399" i="6"/>
  <c r="G312" i="6"/>
  <c r="G367" i="6"/>
  <c r="G174" i="6"/>
  <c r="G236" i="6"/>
  <c r="G516" i="6"/>
  <c r="G239" i="6"/>
  <c r="G75" i="6"/>
  <c r="G352" i="6"/>
  <c r="G348" i="6"/>
  <c r="G159" i="6"/>
  <c r="G358" i="6"/>
  <c r="G221" i="6"/>
  <c r="G134" i="6"/>
  <c r="G322" i="6"/>
  <c r="G113" i="6"/>
  <c r="G483" i="6"/>
  <c r="G436" i="6"/>
  <c r="G327" i="6"/>
  <c r="G55" i="6"/>
  <c r="G222" i="6"/>
  <c r="G308" i="6"/>
  <c r="G520" i="6"/>
  <c r="G493" i="6"/>
  <c r="G459" i="6"/>
  <c r="G17" i="6"/>
  <c r="G544" i="6"/>
  <c r="G94" i="6"/>
  <c r="G68" i="6"/>
  <c r="G172" i="6"/>
  <c r="G51" i="6"/>
  <c r="G338" i="6"/>
  <c r="G496" i="6"/>
  <c r="G467" i="6"/>
  <c r="G118" i="6"/>
  <c r="G116" i="6"/>
  <c r="G509" i="6"/>
  <c r="G426" i="6"/>
  <c r="G364" i="6"/>
  <c r="G464" i="6"/>
  <c r="G444" i="6"/>
  <c r="G102" i="6"/>
  <c r="G97" i="6"/>
  <c r="G13" i="6"/>
  <c r="G40" i="6"/>
  <c r="G456" i="6"/>
  <c r="G525" i="6"/>
  <c r="G539" i="6"/>
  <c r="G306" i="6"/>
  <c r="G125" i="6"/>
  <c r="G410" i="6"/>
  <c r="G376" i="6"/>
  <c r="G448" i="6"/>
  <c r="G158" i="6"/>
  <c r="G510" i="6"/>
  <c r="G362" i="6"/>
  <c r="G502" i="6"/>
  <c r="G153" i="6"/>
  <c r="G95" i="6"/>
  <c r="G139" i="6"/>
  <c r="G269" i="6"/>
  <c r="G131" i="6"/>
  <c r="G540" i="6"/>
  <c r="G316" i="6"/>
  <c r="G526" i="6"/>
  <c r="G443" i="6"/>
  <c r="G552" i="6"/>
  <c r="G136" i="6"/>
  <c r="G163" i="6"/>
  <c r="G422" i="6"/>
  <c r="G299" i="6"/>
  <c r="G157" i="6"/>
  <c r="G439" i="6"/>
  <c r="G302" i="6"/>
  <c r="G33" i="6"/>
  <c r="G156" i="6"/>
  <c r="G232" i="6"/>
  <c r="G259" i="6"/>
  <c r="G356" i="6"/>
  <c r="G266" i="6"/>
  <c r="G126" i="6"/>
  <c r="G119" i="6"/>
  <c r="G311" i="6"/>
  <c r="G423" i="6"/>
  <c r="G32" i="6"/>
  <c r="G146" i="6"/>
  <c r="G545" i="6"/>
  <c r="G307" i="6"/>
  <c r="G78" i="6"/>
  <c r="G380" i="6"/>
  <c r="G37" i="6"/>
  <c r="G335" i="6"/>
  <c r="G336" i="6"/>
  <c r="G233" i="6"/>
  <c r="G332" i="6"/>
  <c r="G449" i="6"/>
  <c r="G543" i="6"/>
  <c r="G404" i="6"/>
  <c r="G16" i="6"/>
  <c r="G379" i="6"/>
  <c r="G66" i="6"/>
  <c r="G470" i="6"/>
  <c r="G528" i="6"/>
  <c r="G479" i="6"/>
  <c r="G305" i="6"/>
  <c r="G303" i="6"/>
  <c r="G511" i="6"/>
  <c r="G491" i="6"/>
  <c r="G91" i="6"/>
  <c r="G541" i="6"/>
  <c r="G217" i="6"/>
  <c r="G455" i="6"/>
  <c r="G499" i="6"/>
  <c r="G519" i="6"/>
  <c r="G169" i="6"/>
  <c r="G274" i="6"/>
  <c r="G283" i="6"/>
  <c r="G507" i="6"/>
  <c r="G149" i="6"/>
  <c r="G34" i="6"/>
  <c r="G29" i="6"/>
  <c r="G424" i="6"/>
  <c r="G166" i="6"/>
  <c r="G527" i="6"/>
  <c r="G447" i="6"/>
  <c r="G523" i="6"/>
  <c r="G231" i="6"/>
  <c r="G61" i="6"/>
  <c r="G86" i="6"/>
  <c r="G463" i="6"/>
  <c r="G246" i="6"/>
  <c r="G205" i="6"/>
  <c r="G98" i="6"/>
  <c r="G261" i="6"/>
  <c r="G555" i="6"/>
  <c r="G99" i="6"/>
  <c r="G57" i="6"/>
  <c r="G366" i="6"/>
  <c r="G124" i="6"/>
  <c r="G114" i="6"/>
  <c r="G218" i="6"/>
  <c r="G270" i="6"/>
  <c r="G152" i="6"/>
  <c r="G309" i="6"/>
  <c r="G80" i="6"/>
  <c r="G142" i="6"/>
  <c r="G138" i="6"/>
  <c r="G62" i="6"/>
  <c r="G377" i="6"/>
  <c r="G48" i="6"/>
  <c r="G324" i="6"/>
  <c r="G532" i="6"/>
  <c r="G185" i="6"/>
  <c r="G176" i="6"/>
  <c r="G207" i="6"/>
  <c r="G241" i="6"/>
  <c r="G388" i="6"/>
  <c r="G230" i="6"/>
  <c r="G473" i="6"/>
  <c r="G371" i="6"/>
  <c r="G288" i="6"/>
  <c r="G392" i="6"/>
  <c r="G148" i="6"/>
  <c r="G19" i="6"/>
  <c r="G10" i="6"/>
  <c r="G262" i="6"/>
  <c r="G108" i="6"/>
  <c r="G434" i="6"/>
  <c r="G406" i="6"/>
  <c r="G318" i="6"/>
  <c r="G192" i="6"/>
  <c r="G428" i="6"/>
  <c r="G385" i="6"/>
  <c r="G542" i="6"/>
  <c r="G257" i="6"/>
  <c r="G11" i="6"/>
  <c r="G450" i="6"/>
  <c r="G287" i="6"/>
  <c r="G397" i="6"/>
  <c r="G554" i="6"/>
  <c r="G360" i="6"/>
  <c r="G255" i="6"/>
  <c r="G437" i="6"/>
  <c r="G92" i="6"/>
  <c r="G135" i="6"/>
  <c r="G433" i="6"/>
  <c r="G461" i="6"/>
  <c r="G109" i="6"/>
  <c r="G481" i="6"/>
  <c r="G402" i="6"/>
  <c r="G191" i="6"/>
  <c r="G137" i="6"/>
  <c r="G42" i="6"/>
  <c r="G46" i="6"/>
  <c r="G263" i="6"/>
  <c r="G50" i="6"/>
  <c r="G282" i="6"/>
  <c r="G297" i="6"/>
  <c r="G370" i="6"/>
  <c r="G375" i="6"/>
  <c r="G23" i="6"/>
  <c r="G333" i="6"/>
  <c r="G530" i="6"/>
  <c r="G301" i="6"/>
  <c r="G276" i="6"/>
  <c r="G264" i="6"/>
  <c r="G151" i="6"/>
  <c r="G369" i="6"/>
  <c r="G12" i="6"/>
  <c r="G21" i="6"/>
  <c r="G196" i="6"/>
  <c r="G551" i="6"/>
  <c r="G409" i="6"/>
  <c r="G361" i="6"/>
  <c r="G549" i="6"/>
  <c r="G187" i="6"/>
  <c r="G165" i="6"/>
  <c r="G365" i="6"/>
  <c r="G435" i="6"/>
  <c r="G77" i="6"/>
  <c r="G105" i="6"/>
  <c r="G465" i="6"/>
  <c r="G344" i="6"/>
  <c r="G212" i="6"/>
  <c r="G285" i="6"/>
  <c r="G35" i="6"/>
  <c r="G209" i="6"/>
  <c r="G537" i="6"/>
  <c r="G457" i="6"/>
  <c r="G24" i="6"/>
  <c r="G471" i="6"/>
  <c r="G54" i="6"/>
  <c r="G508" i="6"/>
  <c r="G453" i="6"/>
  <c r="G489" i="6"/>
  <c r="G122" i="6"/>
  <c r="G421" i="6"/>
  <c r="G497" i="6"/>
  <c r="G228" i="6"/>
  <c r="G93" i="6"/>
  <c r="G517" i="6"/>
  <c r="G202" i="6"/>
  <c r="G168" i="6"/>
  <c r="G112" i="6"/>
  <c r="G226" i="6"/>
  <c r="G556" i="6"/>
  <c r="G8" i="6"/>
  <c r="G238" i="6"/>
  <c r="G429" i="6"/>
  <c r="G548" i="6"/>
  <c r="G260" i="6"/>
  <c r="G441" i="6"/>
  <c r="G451" i="6"/>
  <c r="G201" i="6"/>
  <c r="G538" i="6"/>
  <c r="G115" i="6"/>
  <c r="G414" i="6"/>
  <c r="G413" i="6"/>
  <c r="G144" i="6"/>
  <c r="G123" i="6"/>
  <c r="G248" i="6"/>
  <c r="G258" i="6"/>
  <c r="G347" i="6"/>
  <c r="G430" i="6"/>
  <c r="G546" i="6"/>
  <c r="G237" i="6"/>
  <c r="G401" i="6"/>
  <c r="G315" i="6"/>
  <c r="G325" i="6"/>
  <c r="G398" i="6"/>
  <c r="G183" i="6"/>
  <c r="G452" i="6"/>
  <c r="G341" i="6"/>
  <c r="G107" i="6"/>
  <c r="G468" i="6"/>
  <c r="G268" i="6"/>
  <c r="G328" i="6"/>
  <c r="G391" i="6"/>
  <c r="G179" i="6"/>
  <c r="G67" i="6"/>
  <c r="G321" i="6"/>
  <c r="G412" i="6"/>
  <c r="G175" i="6"/>
  <c r="G319" i="6"/>
  <c r="G173" i="6"/>
  <c r="G363" i="6"/>
  <c r="G317" i="6"/>
  <c r="G359" i="6"/>
  <c r="G188" i="6"/>
  <c r="G374" i="6"/>
  <c r="G405" i="6"/>
  <c r="G45" i="6"/>
  <c r="G63" i="6"/>
  <c r="G486" i="6"/>
  <c r="G39" i="6"/>
  <c r="G342" i="6"/>
  <c r="H478" i="4"/>
  <c r="H339" i="4"/>
  <c r="H78" i="4"/>
  <c r="H119" i="4"/>
  <c r="H214" i="4"/>
  <c r="H171" i="4"/>
  <c r="H182" i="4"/>
  <c r="H36" i="4"/>
  <c r="H548" i="4"/>
  <c r="H31" i="4"/>
  <c r="H525" i="4"/>
  <c r="H103" i="4"/>
  <c r="H556" i="4"/>
  <c r="H334" i="4"/>
  <c r="H438" i="4"/>
  <c r="H159" i="4"/>
  <c r="H208" i="4"/>
  <c r="H91" i="4"/>
  <c r="H543" i="4"/>
  <c r="H90" i="4"/>
  <c r="H168" i="4"/>
  <c r="H294" i="4"/>
  <c r="H510" i="4"/>
  <c r="H110" i="4"/>
  <c r="H418" i="4"/>
  <c r="H165" i="4"/>
  <c r="H455" i="4"/>
  <c r="H16" i="4"/>
  <c r="H102" i="4"/>
  <c r="H488" i="4"/>
  <c r="H552" i="4"/>
  <c r="H148" i="4"/>
  <c r="H35" i="4"/>
  <c r="H461" i="4"/>
  <c r="H72" i="4"/>
  <c r="H23" i="4"/>
  <c r="H288" i="4"/>
  <c r="H496" i="4"/>
  <c r="H440" i="4"/>
  <c r="H500" i="4"/>
  <c r="H491" i="4"/>
  <c r="H206" i="4"/>
  <c r="H542" i="4"/>
  <c r="H270" i="4"/>
  <c r="H467" i="4"/>
  <c r="H44" i="4"/>
  <c r="H232" i="4"/>
  <c r="H505" i="4"/>
  <c r="H38" i="4"/>
  <c r="H157" i="4"/>
  <c r="H234" i="4"/>
  <c r="H286" i="4"/>
  <c r="H162" i="4"/>
  <c r="H433" i="4"/>
  <c r="H259" i="4"/>
  <c r="H201" i="4"/>
  <c r="H459" i="4"/>
  <c r="H390" i="4"/>
  <c r="H468" i="4"/>
  <c r="H69" i="4"/>
  <c r="H176" i="4"/>
  <c r="H269" i="4"/>
  <c r="H304" i="4"/>
  <c r="H156" i="4"/>
  <c r="H235" i="4"/>
  <c r="H15" i="4"/>
  <c r="H306" i="4"/>
  <c r="H260" i="4"/>
  <c r="H216" i="4"/>
  <c r="H47" i="4"/>
  <c r="H404" i="4"/>
  <c r="H393" i="4"/>
  <c r="H331" i="4"/>
  <c r="H494" i="4"/>
  <c r="H481" i="4"/>
  <c r="H343" i="4"/>
  <c r="H81" i="4"/>
  <c r="H489" i="4"/>
  <c r="H97" i="4"/>
  <c r="H246" i="4"/>
  <c r="H316" i="4"/>
  <c r="H466" i="4"/>
  <c r="H310" i="4"/>
  <c r="H154" i="4"/>
  <c r="H322" i="4"/>
  <c r="H191" i="4"/>
  <c r="H414" i="4"/>
  <c r="H279" i="4"/>
  <c r="H538" i="4"/>
  <c r="H219" i="4"/>
  <c r="H353" i="4"/>
  <c r="H241" i="4"/>
  <c r="H448" i="4"/>
  <c r="H507" i="4"/>
  <c r="H283" i="4"/>
  <c r="H369" i="4"/>
  <c r="H56" i="4"/>
  <c r="H41" i="4"/>
  <c r="H209" i="4"/>
  <c r="H529" i="4"/>
  <c r="H174" i="4"/>
  <c r="H116" i="4"/>
  <c r="H87" i="4"/>
  <c r="H13" i="4"/>
  <c r="H253" i="4"/>
  <c r="H239" i="4"/>
  <c r="H143" i="4"/>
  <c r="H546" i="4"/>
  <c r="H407" i="4"/>
  <c r="H39" i="4"/>
  <c r="H400" i="4"/>
  <c r="H320" i="4"/>
  <c r="H528" i="4"/>
  <c r="H109" i="4"/>
  <c r="H152" i="4"/>
  <c r="H419" i="4"/>
  <c r="H380" i="4"/>
  <c r="H513" i="4"/>
  <c r="H434" i="4"/>
  <c r="H480" i="4"/>
  <c r="H409" i="4"/>
  <c r="H194" i="4"/>
  <c r="H363" i="4"/>
  <c r="H14" i="4"/>
  <c r="H540" i="4"/>
  <c r="H539" i="4"/>
  <c r="H122" i="4"/>
  <c r="H447" i="4"/>
  <c r="H436" i="4"/>
  <c r="H293" i="4"/>
  <c r="H386" i="4"/>
  <c r="H278" i="4"/>
  <c r="H137" i="4"/>
  <c r="H385" i="4"/>
  <c r="H276" i="4"/>
  <c r="H265" i="4"/>
  <c r="H335" i="4"/>
  <c r="H307" i="4"/>
  <c r="H324" i="4"/>
  <c r="H422" i="4"/>
  <c r="H397" i="4"/>
  <c r="H261" i="4"/>
  <c r="H93" i="4"/>
  <c r="H443" i="4"/>
  <c r="H220" i="4"/>
  <c r="H96" i="4"/>
  <c r="H458" i="4"/>
  <c r="H212" i="4"/>
  <c r="H185" i="4"/>
  <c r="H460" i="4"/>
  <c r="H519" i="4"/>
  <c r="H345" i="4"/>
  <c r="H536" i="4"/>
  <c r="H327" i="4"/>
  <c r="H482" i="4"/>
  <c r="H46" i="4"/>
  <c r="H26" i="4"/>
  <c r="H53" i="4"/>
  <c r="H52" i="4"/>
  <c r="H376" i="4"/>
  <c r="H527" i="4"/>
  <c r="H526" i="4"/>
  <c r="H432" i="4"/>
  <c r="H7" i="4"/>
  <c r="H17" i="4"/>
  <c r="H520" i="4"/>
  <c r="H142" i="4"/>
  <c r="H169" i="4"/>
  <c r="H71" i="4"/>
  <c r="H51" i="4"/>
  <c r="H19" i="4"/>
  <c r="H117" i="4"/>
  <c r="H272" i="4"/>
  <c r="H521" i="4"/>
  <c r="H98" i="4"/>
  <c r="H160" i="4"/>
  <c r="H95" i="4"/>
  <c r="H290" i="4"/>
  <c r="H297" i="4"/>
  <c r="H180" i="4"/>
  <c r="H453" i="4"/>
  <c r="H544" i="4"/>
  <c r="H284" i="4"/>
  <c r="H373" i="4"/>
  <c r="H486" i="4"/>
  <c r="H550" i="4"/>
  <c r="H406" i="4"/>
  <c r="H21" i="4"/>
  <c r="H340" i="4"/>
  <c r="H437" i="4"/>
  <c r="H183" i="4"/>
  <c r="H76" i="4"/>
  <c r="H391" i="4"/>
  <c r="H65" i="4"/>
  <c r="H121" i="4"/>
  <c r="H205" i="4"/>
  <c r="H493" i="4"/>
  <c r="H237" i="4"/>
  <c r="H236" i="4"/>
  <c r="H445" i="4"/>
  <c r="H553" i="4"/>
  <c r="H228" i="4"/>
  <c r="H444" i="4"/>
  <c r="H132" i="4"/>
  <c r="H389" i="4"/>
  <c r="H501" i="4"/>
  <c r="H396" i="4"/>
  <c r="H92" i="4"/>
  <c r="H332" i="4"/>
  <c r="H451" i="4"/>
  <c r="H164" i="4"/>
  <c r="H442" i="4"/>
  <c r="H153" i="4"/>
  <c r="H350" i="4"/>
  <c r="H251" i="4"/>
  <c r="H67" i="4"/>
  <c r="H378" i="4"/>
  <c r="H147" i="4"/>
  <c r="H530" i="4"/>
  <c r="H360" i="4"/>
  <c r="H534" i="4"/>
  <c r="H248" i="4"/>
  <c r="H163" i="4"/>
  <c r="H362" i="4"/>
  <c r="H268" i="4"/>
  <c r="H517" i="4"/>
  <c r="H58" i="4"/>
  <c r="H255" i="4"/>
  <c r="H146" i="4"/>
  <c r="H60" i="4"/>
  <c r="H149" i="4"/>
  <c r="H108" i="4"/>
  <c r="H449" i="4"/>
  <c r="H325" i="4"/>
  <c r="H42" i="4"/>
  <c r="H349" i="4"/>
  <c r="H431" i="4"/>
  <c r="H532" i="4"/>
  <c r="H401" i="4"/>
  <c r="H412" i="4"/>
  <c r="H59" i="4"/>
  <c r="H351" i="4"/>
  <c r="H250" i="4"/>
  <c r="H197" i="4"/>
  <c r="H392" i="4"/>
  <c r="H280" i="4"/>
  <c r="H408" i="4"/>
  <c r="H204" i="4"/>
  <c r="H356" i="4"/>
  <c r="H338" i="4"/>
  <c r="H129" i="4"/>
  <c r="H254" i="4"/>
  <c r="H516" i="4"/>
  <c r="H32" i="4"/>
  <c r="H522" i="4"/>
  <c r="H50" i="4"/>
  <c r="H75" i="4"/>
  <c r="H503" i="4"/>
  <c r="H549" i="4"/>
  <c r="H423" i="4"/>
  <c r="H133" i="4"/>
  <c r="H430" i="4"/>
  <c r="H85" i="4"/>
  <c r="H547" i="4"/>
  <c r="H367" i="4"/>
  <c r="H395" i="4"/>
  <c r="H506" i="4"/>
  <c r="H175" i="4"/>
  <c r="H417" i="4"/>
  <c r="H178" i="4"/>
  <c r="H88" i="4"/>
  <c r="H382" i="4"/>
  <c r="H557" i="4"/>
  <c r="H329" i="4"/>
  <c r="H20" i="4"/>
  <c r="H83" i="4"/>
  <c r="H346" i="4"/>
  <c r="H428" i="4"/>
  <c r="H429" i="4"/>
  <c r="H45" i="4"/>
  <c r="H10" i="4"/>
  <c r="H271" i="4"/>
  <c r="H144" i="4"/>
  <c r="H242" i="4"/>
  <c r="H498" i="4"/>
  <c r="H207" i="4"/>
  <c r="H403" i="4"/>
  <c r="H139" i="4"/>
  <c r="H303" i="4"/>
  <c r="H484" i="4"/>
  <c r="H115" i="4"/>
  <c r="H476" i="4"/>
  <c r="H483" i="4"/>
  <c r="H70" i="4"/>
  <c r="H37" i="4"/>
  <c r="H518" i="4"/>
  <c r="H213" i="4"/>
  <c r="H375" i="4"/>
  <c r="H377" i="4"/>
  <c r="H509" i="4"/>
  <c r="H292" i="4"/>
  <c r="H398" i="4"/>
  <c r="H125" i="4"/>
  <c r="H172" i="4"/>
  <c r="H118" i="4"/>
  <c r="H497" i="4"/>
  <c r="H311" i="4"/>
  <c r="H57" i="4"/>
  <c r="H193" i="4"/>
  <c r="H73" i="4"/>
  <c r="H305" i="4"/>
  <c r="H336" i="4"/>
  <c r="H25" i="4"/>
  <c r="H295" i="4"/>
  <c r="H533" i="4"/>
  <c r="H463" i="4"/>
  <c r="H130" i="4"/>
  <c r="H202" i="4"/>
  <c r="H245" i="4"/>
  <c r="H371" i="4"/>
  <c r="H352" i="4"/>
  <c r="H226" i="4"/>
  <c r="H318" i="4"/>
  <c r="H77" i="4"/>
  <c r="H140" i="4"/>
  <c r="H524" i="4"/>
  <c r="H150" i="4"/>
  <c r="H495" i="4"/>
  <c r="H106" i="4"/>
  <c r="H9" i="4"/>
  <c r="H55" i="4"/>
  <c r="H138" i="4"/>
  <c r="H30" i="4"/>
  <c r="H224" i="4"/>
  <c r="H370" i="4"/>
  <c r="H485" i="4"/>
  <c r="H33" i="4"/>
  <c r="H238" i="4"/>
  <c r="H416" i="4"/>
  <c r="H211" i="4"/>
  <c r="H511" i="4"/>
  <c r="H114" i="4"/>
  <c r="H155" i="4"/>
  <c r="H326" i="4"/>
  <c r="H186" i="4"/>
  <c r="H299" i="4"/>
  <c r="H198" i="4"/>
  <c r="H225" i="4"/>
  <c r="H100" i="4"/>
  <c r="H508" i="4"/>
  <c r="H107" i="4"/>
  <c r="H203" i="4"/>
  <c r="H256" i="4"/>
  <c r="H555" i="4"/>
  <c r="H190" i="4"/>
  <c r="H27" i="4"/>
  <c r="H79" i="4"/>
  <c r="H40" i="4"/>
  <c r="H368" i="4"/>
  <c r="H446" i="4"/>
  <c r="H231" i="4"/>
  <c r="H479" i="4"/>
  <c r="H315" i="4"/>
  <c r="H170" i="4"/>
  <c r="H112" i="4"/>
  <c r="H475" i="4"/>
  <c r="H554" i="4"/>
  <c r="H127" i="4"/>
  <c r="H64" i="4"/>
  <c r="H99" i="4"/>
  <c r="H348" i="4"/>
  <c r="H426" i="4"/>
  <c r="H74" i="4"/>
  <c r="H502" i="4"/>
  <c r="H105" i="4"/>
  <c r="H192" i="4"/>
  <c r="H134" i="4"/>
  <c r="H471" i="4"/>
  <c r="H195" i="4"/>
  <c r="H258" i="4"/>
  <c r="H120" i="4"/>
  <c r="H82" i="4"/>
  <c r="H188" i="4"/>
  <c r="H435" i="4"/>
  <c r="H415" i="4"/>
  <c r="H233" i="4"/>
  <c r="H402" i="4"/>
  <c r="H465" i="4"/>
  <c r="H364" i="4"/>
  <c r="H347" i="4"/>
  <c r="H223" i="4"/>
  <c r="H381" i="4"/>
  <c r="H413" i="4"/>
  <c r="H289" i="4"/>
  <c r="H84" i="4"/>
  <c r="H314" i="4"/>
  <c r="H199" i="4"/>
  <c r="H359" i="4"/>
  <c r="H61" i="4"/>
  <c r="H230" i="4"/>
  <c r="H309" i="4"/>
  <c r="H300" i="4"/>
  <c r="H11" i="4"/>
  <c r="H113" i="4"/>
  <c r="H221" i="4"/>
  <c r="H187" i="4"/>
  <c r="H457" i="4"/>
  <c r="H267" i="4"/>
  <c r="H365" i="4"/>
  <c r="H296" i="4"/>
  <c r="H126" i="4"/>
  <c r="H229" i="4"/>
  <c r="H477" i="4"/>
  <c r="H48" i="4"/>
  <c r="H333" i="4"/>
  <c r="H80" i="4"/>
  <c r="H341" i="4"/>
  <c r="H43" i="4"/>
  <c r="H62" i="4"/>
  <c r="H545" i="4"/>
  <c r="H330" i="4"/>
  <c r="H405" i="4"/>
  <c r="H537" i="4"/>
  <c r="H456" i="4"/>
  <c r="H145" i="4"/>
  <c r="H302" i="4"/>
  <c r="H531" i="4"/>
  <c r="H177" i="4"/>
  <c r="H357" i="4"/>
  <c r="H101" i="4"/>
  <c r="H469" i="4"/>
  <c r="H355" i="4"/>
  <c r="H421" i="4"/>
  <c r="H274" i="4"/>
  <c r="H410" i="4"/>
  <c r="H358" i="4"/>
  <c r="H379" i="4"/>
  <c r="H262" i="4"/>
  <c r="H247" i="4"/>
  <c r="H189" i="4"/>
  <c r="H173" i="4"/>
  <c r="H141" i="4"/>
  <c r="H94" i="4"/>
  <c r="H222" i="4"/>
  <c r="H425" i="4"/>
  <c r="H462" i="4"/>
  <c r="H66" i="4"/>
  <c r="H243" i="4"/>
  <c r="H287" i="4"/>
  <c r="H551" i="4"/>
  <c r="H383" i="4"/>
  <c r="H308" i="4"/>
  <c r="H499" i="4"/>
  <c r="H470" i="4"/>
  <c r="H63" i="4"/>
  <c r="H504" i="4"/>
  <c r="H337" i="4"/>
  <c r="H161" i="4"/>
  <c r="H249" i="4"/>
  <c r="H281" i="4"/>
  <c r="H285" i="4"/>
  <c r="H218" i="4"/>
  <c r="H420" i="4"/>
  <c r="H411" i="4"/>
  <c r="H394" i="4"/>
  <c r="H301" i="4"/>
  <c r="H86" i="4"/>
  <c r="H8" i="4"/>
  <c r="H399" i="4"/>
  <c r="H131" i="4"/>
  <c r="H328" i="4"/>
  <c r="H277" i="4"/>
  <c r="H11" i="7"/>
  <c r="H12" i="7"/>
  <c r="H43" i="5"/>
  <c r="H55" i="5"/>
  <c r="H63" i="5"/>
  <c r="H40" i="5"/>
  <c r="H62" i="5"/>
  <c r="H67" i="5"/>
  <c r="H47" i="5"/>
  <c r="H11" i="5"/>
  <c r="H17" i="5"/>
  <c r="H9" i="5"/>
  <c r="H30" i="5"/>
  <c r="H39" i="5"/>
  <c r="H59" i="5"/>
  <c r="H50" i="5"/>
  <c r="H65" i="5"/>
  <c r="H75" i="5"/>
  <c r="H16" i="5"/>
  <c r="H28" i="5"/>
  <c r="H66" i="5"/>
  <c r="H20" i="5"/>
  <c r="H37" i="5"/>
  <c r="H53" i="5"/>
  <c r="H38" i="5"/>
  <c r="H58" i="5"/>
  <c r="H46" i="5"/>
  <c r="H77" i="5"/>
  <c r="H52" i="5"/>
  <c r="H35" i="5"/>
  <c r="H24" i="5"/>
  <c r="H44" i="5"/>
  <c r="H32" i="5"/>
  <c r="H48" i="5"/>
  <c r="H26" i="5"/>
  <c r="H45" i="5"/>
  <c r="H15" i="5"/>
  <c r="H78" i="5"/>
  <c r="H42" i="5"/>
  <c r="H68" i="5"/>
  <c r="H27" i="5"/>
  <c r="H64" i="5"/>
  <c r="H73" i="5"/>
  <c r="H21" i="5"/>
  <c r="H8" i="5"/>
  <c r="H56" i="5"/>
  <c r="H29" i="5"/>
  <c r="H74" i="5"/>
  <c r="H69" i="5"/>
  <c r="H34" i="5"/>
  <c r="H33" i="5"/>
  <c r="H31" i="5"/>
  <c r="H36" i="5"/>
  <c r="H72" i="5"/>
  <c r="H22" i="5"/>
  <c r="H12" i="5"/>
  <c r="H51" i="5"/>
  <c r="H57" i="5"/>
  <c r="H49" i="5"/>
  <c r="H10" i="5"/>
  <c r="H19" i="5"/>
  <c r="H7" i="5"/>
  <c r="H41" i="5"/>
  <c r="H60" i="5"/>
  <c r="H70" i="5"/>
  <c r="H18" i="5"/>
  <c r="H25" i="5"/>
  <c r="H61" i="5"/>
  <c r="H71" i="5"/>
  <c r="H13" i="5"/>
  <c r="H23" i="5"/>
  <c r="G254" i="6" l="1"/>
  <c r="G521" i="6"/>
  <c r="G145" i="6"/>
  <c r="H264" i="4"/>
  <c r="H342" i="4"/>
  <c r="H34" i="4"/>
  <c r="H217" i="4"/>
  <c r="H361" i="4"/>
  <c r="H291" i="4"/>
  <c r="H282" i="4"/>
  <c r="H196" i="4"/>
  <c r="H317" i="4"/>
  <c r="H104" i="4"/>
  <c r="J104" i="4" s="1"/>
  <c r="H464" i="4"/>
  <c r="J464" i="4" s="1"/>
  <c r="H257" i="4"/>
  <c r="J257" i="4" s="1"/>
  <c r="H263" i="4"/>
  <c r="J263" i="4" s="1"/>
  <c r="H313" i="4"/>
  <c r="K313" i="4" s="1"/>
  <c r="H523" i="4"/>
  <c r="J523" i="4" s="1"/>
  <c r="H166" i="4"/>
  <c r="J166" i="4" s="1"/>
  <c r="H22" i="4"/>
  <c r="K22" i="4" s="1"/>
  <c r="H29" i="4"/>
  <c r="J29" i="4" s="1"/>
  <c r="H541" i="4"/>
  <c r="J541" i="4" s="1"/>
  <c r="G286" i="6"/>
  <c r="J286" i="6" s="1"/>
  <c r="G198" i="6"/>
  <c r="I198" i="6" s="1"/>
  <c r="G200" i="6"/>
  <c r="J200" i="6" s="1"/>
  <c r="G393" i="6"/>
  <c r="M393" i="6" s="1"/>
  <c r="G279" i="6"/>
  <c r="I279" i="6" s="1"/>
  <c r="G161" i="6"/>
  <c r="G383" i="6"/>
  <c r="G56" i="6"/>
  <c r="G100" i="6"/>
  <c r="G408" i="6"/>
  <c r="G154" i="6"/>
  <c r="G386" i="6"/>
  <c r="G20" i="6"/>
  <c r="G458" i="6"/>
  <c r="M458" i="6" s="1"/>
  <c r="G384" i="6"/>
  <c r="M384" i="6" s="1"/>
  <c r="G427" i="6"/>
  <c r="J427" i="6" s="1"/>
  <c r="G234" i="6"/>
  <c r="G536" i="6"/>
  <c r="M536" i="6" s="1"/>
  <c r="G349" i="6"/>
  <c r="I349" i="6" s="1"/>
  <c r="G487" i="6"/>
  <c r="G492" i="6"/>
  <c r="J492" i="6" s="1"/>
  <c r="H424" i="4"/>
  <c r="J424" i="4" s="1"/>
  <c r="H474" i="4"/>
  <c r="J474" i="4" s="1"/>
  <c r="H374" i="4"/>
  <c r="J374" i="4" s="1"/>
  <c r="H454" i="4"/>
  <c r="K454" i="4" s="1"/>
  <c r="H18" i="4"/>
  <c r="K18" i="4" s="1"/>
  <c r="H179" i="4"/>
  <c r="K179" i="4" s="1"/>
  <c r="H24" i="4"/>
  <c r="J24" i="4" s="1"/>
  <c r="H298" i="4"/>
  <c r="J298" i="4" s="1"/>
  <c r="H366" i="4"/>
  <c r="H441" i="4"/>
  <c r="H372" i="4"/>
  <c r="H135" i="4"/>
  <c r="H244" i="4"/>
  <c r="H184" i="4"/>
  <c r="H49" i="4"/>
  <c r="H487" i="4"/>
  <c r="H227" i="4"/>
  <c r="J227" i="4" s="1"/>
  <c r="H354" i="4"/>
  <c r="K354" i="4" s="1"/>
  <c r="G403" i="6"/>
  <c r="J403" i="6" s="1"/>
  <c r="G180" i="6"/>
  <c r="G346" i="6"/>
  <c r="I346" i="6" s="1"/>
  <c r="G477" i="6"/>
  <c r="I477" i="6" s="1"/>
  <c r="G557" i="6"/>
  <c r="G229" i="6"/>
  <c r="I229" i="6" s="1"/>
  <c r="G298" i="6"/>
  <c r="J298" i="6" s="1"/>
  <c r="G184" i="6"/>
  <c r="I184" i="6" s="1"/>
  <c r="G49" i="6"/>
  <c r="J49" i="6" s="1"/>
  <c r="G60" i="6"/>
  <c r="J60" i="6" s="1"/>
  <c r="G9" i="6"/>
  <c r="J9" i="6" s="1"/>
  <c r="G395" i="6"/>
  <c r="J395" i="6" s="1"/>
  <c r="G373" i="6"/>
  <c r="I373" i="6" s="1"/>
  <c r="G210" i="6"/>
  <c r="J210" i="6" s="1"/>
  <c r="G220" i="6"/>
  <c r="G44" i="6"/>
  <c r="G504" i="6"/>
  <c r="G193" i="6"/>
  <c r="G440" i="6"/>
  <c r="G500" i="6"/>
  <c r="G70" i="6"/>
  <c r="G331" i="6"/>
  <c r="H321" i="4"/>
  <c r="K321" i="4" s="1"/>
  <c r="H472" i="4"/>
  <c r="K472" i="4" s="1"/>
  <c r="H124" i="4"/>
  <c r="J124" i="4" s="1"/>
  <c r="H89" i="4"/>
  <c r="H68" i="4"/>
  <c r="K68" i="4" s="1"/>
  <c r="H312" i="4"/>
  <c r="J312" i="4" s="1"/>
  <c r="H128" i="4"/>
  <c r="H514" i="4"/>
  <c r="J514" i="4" s="1"/>
  <c r="H54" i="4"/>
  <c r="K54" i="4" s="1"/>
  <c r="H240" i="4"/>
  <c r="K240" i="4" s="1"/>
  <c r="H319" i="4"/>
  <c r="J319" i="4" s="1"/>
  <c r="H323" i="4"/>
  <c r="J323" i="4" s="1"/>
  <c r="H123" i="4"/>
  <c r="J123" i="4" s="1"/>
  <c r="H439" i="4"/>
  <c r="K439" i="4" s="1"/>
  <c r="H167" i="4"/>
  <c r="K167" i="4" s="1"/>
  <c r="H512" i="4"/>
  <c r="K512" i="4" s="1"/>
  <c r="H492" i="4"/>
  <c r="H450" i="4"/>
  <c r="G147" i="6"/>
  <c r="G381" i="6"/>
  <c r="G514" i="6"/>
  <c r="G296" i="6"/>
  <c r="G170" i="6"/>
  <c r="G26" i="6"/>
  <c r="G512" i="6"/>
  <c r="I512" i="6" s="1"/>
  <c r="G164" i="6"/>
  <c r="M164" i="6" s="1"/>
  <c r="G343" i="6"/>
  <c r="J343" i="6" s="1"/>
  <c r="G553" i="6"/>
  <c r="J553" i="6" s="1"/>
  <c r="G340" i="6"/>
  <c r="J340" i="6" s="1"/>
  <c r="G407" i="6"/>
  <c r="J407" i="6" s="1"/>
  <c r="G466" i="6"/>
  <c r="J466" i="6" s="1"/>
  <c r="G278" i="6"/>
  <c r="J278" i="6" s="1"/>
  <c r="G515" i="6"/>
  <c r="J515" i="6" s="1"/>
  <c r="G250" i="6"/>
  <c r="M250" i="6" s="1"/>
  <c r="G494" i="6"/>
  <c r="M494" i="6" s="1"/>
  <c r="G432" i="6"/>
  <c r="J432" i="6" s="1"/>
  <c r="G535" i="6"/>
  <c r="I535" i="6" s="1"/>
  <c r="G182" i="6"/>
  <c r="J182" i="6" s="1"/>
  <c r="G199" i="6"/>
  <c r="J199" i="6" s="1"/>
  <c r="G498" i="6"/>
  <c r="J498" i="6" s="1"/>
  <c r="H12" i="4"/>
  <c r="G382" i="6"/>
  <c r="G431" i="6"/>
  <c r="G96" i="6"/>
  <c r="G534" i="6"/>
  <c r="G501" i="6"/>
  <c r="G418" i="6"/>
  <c r="G155" i="6"/>
  <c r="G167" i="6"/>
  <c r="J167" i="6" s="1"/>
  <c r="G425" i="6"/>
  <c r="I425" i="6" s="1"/>
  <c r="G469" i="6"/>
  <c r="I469" i="6" s="1"/>
  <c r="G14" i="6"/>
  <c r="G350" i="6"/>
  <c r="J350" i="6" s="1"/>
  <c r="G337" i="6"/>
  <c r="I337" i="6" s="1"/>
  <c r="G445" i="6"/>
  <c r="I445" i="6" s="1"/>
  <c r="G249" i="6"/>
  <c r="M249" i="6" s="1"/>
  <c r="G87" i="6"/>
  <c r="M87" i="6" s="1"/>
  <c r="G480" i="6"/>
  <c r="J480" i="6" s="1"/>
  <c r="G111" i="6"/>
  <c r="J111" i="6" s="1"/>
  <c r="G513" i="6"/>
  <c r="M513" i="6" s="1"/>
  <c r="G503" i="6"/>
  <c r="J503" i="6" s="1"/>
  <c r="G130" i="6"/>
  <c r="I130" i="6" s="1"/>
  <c r="G345" i="6"/>
  <c r="M345" i="6" s="1"/>
  <c r="H76" i="5"/>
  <c r="J76" i="5" s="1"/>
  <c r="H54" i="5"/>
  <c r="H452" i="4"/>
  <c r="H111" i="4"/>
  <c r="H473" i="4"/>
  <c r="H266" i="4"/>
  <c r="H28" i="4"/>
  <c r="H344" i="4"/>
  <c r="H515" i="4"/>
  <c r="H210" i="4"/>
  <c r="K210" i="4" s="1"/>
  <c r="H535" i="4"/>
  <c r="J535" i="4" s="1"/>
  <c r="H200" i="4"/>
  <c r="K200" i="4" s="1"/>
  <c r="H252" i="4"/>
  <c r="K252" i="4" s="1"/>
  <c r="H181" i="4"/>
  <c r="J181" i="4" s="1"/>
  <c r="H490" i="4"/>
  <c r="J490" i="4" s="1"/>
  <c r="H388" i="4"/>
  <c r="K388" i="4" s="1"/>
  <c r="H136" i="4"/>
  <c r="J136" i="4" s="1"/>
  <c r="H215" i="4"/>
  <c r="K215" i="4" s="1"/>
  <c r="H275" i="4"/>
  <c r="K275" i="4" s="1"/>
  <c r="H158" i="4"/>
  <c r="K158" i="4" s="1"/>
  <c r="H427" i="4"/>
  <c r="J427" i="4" s="1"/>
  <c r="H384" i="4"/>
  <c r="J384" i="4" s="1"/>
  <c r="H273" i="4"/>
  <c r="K273" i="4" s="1"/>
  <c r="H387" i="4"/>
  <c r="K387" i="4" s="1"/>
  <c r="G208" i="6"/>
  <c r="J208" i="6" s="1"/>
  <c r="G245" i="6"/>
  <c r="G242" i="6"/>
  <c r="G203" i="6"/>
  <c r="G213" i="6"/>
  <c r="G197" i="6"/>
  <c r="G194" i="6"/>
  <c r="G65" i="6"/>
  <c r="G420" i="6"/>
  <c r="G240" i="6"/>
  <c r="M240" i="6" s="1"/>
  <c r="G177" i="6"/>
  <c r="I177" i="6" s="1"/>
  <c r="G225" i="6"/>
  <c r="G273" i="6"/>
  <c r="G460" i="6"/>
  <c r="I460" i="6" s="1"/>
  <c r="G417" i="6"/>
  <c r="M417" i="6" s="1"/>
  <c r="G247" i="6"/>
  <c r="G216" i="6"/>
  <c r="M216" i="6" s="1"/>
  <c r="G253" i="6"/>
  <c r="M253" i="6" s="1"/>
  <c r="G43" i="6"/>
  <c r="J43" i="6" s="1"/>
  <c r="G351" i="6"/>
  <c r="M351" i="6" s="1"/>
  <c r="G304" i="6"/>
  <c r="M304" i="6" s="1"/>
  <c r="G83" i="6"/>
  <c r="I83" i="6" s="1"/>
  <c r="AN185" i="10"/>
  <c r="AN70" i="10"/>
  <c r="AO70" i="10" s="1"/>
  <c r="AN149" i="10"/>
  <c r="AO149" i="10" s="1"/>
  <c r="AO185" i="10"/>
  <c r="AN148" i="10"/>
  <c r="AO148" i="10" s="1"/>
  <c r="AN184" i="10"/>
  <c r="AO184" i="10" s="1"/>
  <c r="V153" i="10"/>
  <c r="AN85" i="10"/>
  <c r="AO85" i="10" s="1"/>
  <c r="AR85" i="10" s="1"/>
  <c r="AN68" i="10"/>
  <c r="AO68" i="10" s="1"/>
  <c r="AN86" i="10"/>
  <c r="V154" i="10"/>
  <c r="AN116" i="10"/>
  <c r="AN100" i="10"/>
  <c r="AN87" i="10"/>
  <c r="AO87" i="10" s="1"/>
  <c r="AN80" i="10"/>
  <c r="AO80" i="10" s="1"/>
  <c r="AI177" i="10"/>
  <c r="AM177" i="10" s="1"/>
  <c r="AN177" i="10" s="1"/>
  <c r="AO177" i="10" s="1"/>
  <c r="AL177" i="10"/>
  <c r="AL137" i="10"/>
  <c r="AI137" i="10"/>
  <c r="AM137" i="10" s="1"/>
  <c r="AN137" i="10" s="1"/>
  <c r="AO137" i="10" s="1"/>
  <c r="AQ83" i="10"/>
  <c r="AR83" i="10"/>
  <c r="AS83" i="10"/>
  <c r="AQ66" i="10"/>
  <c r="AR66" i="10"/>
  <c r="AS66" i="10"/>
  <c r="AQ63" i="10"/>
  <c r="AR63" i="10"/>
  <c r="AS63" i="10"/>
  <c r="AI106" i="10"/>
  <c r="AM106" i="10" s="1"/>
  <c r="AN106" i="10" s="1"/>
  <c r="AO106" i="10" s="1"/>
  <c r="AL106" i="10"/>
  <c r="AL112" i="10"/>
  <c r="AI112" i="10"/>
  <c r="AM112" i="10" s="1"/>
  <c r="AN112" i="10" s="1"/>
  <c r="AO112" i="10" s="1"/>
  <c r="AI78" i="10"/>
  <c r="AM78" i="10" s="1"/>
  <c r="AN78" i="10" s="1"/>
  <c r="AO78" i="10" s="1"/>
  <c r="AL78" i="10"/>
  <c r="AR185" i="10"/>
  <c r="AQ185" i="10"/>
  <c r="AS185" i="10"/>
  <c r="AN118" i="10"/>
  <c r="AO118" i="10" s="1"/>
  <c r="AR148" i="10"/>
  <c r="AQ148" i="10"/>
  <c r="AS148" i="10"/>
  <c r="AL179" i="10"/>
  <c r="AI179" i="10"/>
  <c r="AM179" i="10" s="1"/>
  <c r="AN179" i="10" s="1"/>
  <c r="AO179" i="10" s="1"/>
  <c r="AR64" i="10"/>
  <c r="AS64" i="10"/>
  <c r="AQ64" i="10"/>
  <c r="AN101" i="10"/>
  <c r="AO101" i="10" s="1"/>
  <c r="AI142" i="10"/>
  <c r="AM142" i="10" s="1"/>
  <c r="AN142" i="10" s="1"/>
  <c r="AO142" i="10" s="1"/>
  <c r="AL142" i="10"/>
  <c r="AN98" i="10"/>
  <c r="AO98" i="10" s="1"/>
  <c r="AL105" i="10"/>
  <c r="AI105" i="10"/>
  <c r="AM105" i="10" s="1"/>
  <c r="AN105" i="10" s="1"/>
  <c r="AO105" i="10" s="1"/>
  <c r="AS162" i="10"/>
  <c r="AQ162" i="10"/>
  <c r="AR162" i="10"/>
  <c r="AI115" i="10"/>
  <c r="AM115" i="10" s="1"/>
  <c r="AN115" i="10" s="1"/>
  <c r="AO115" i="10" s="1"/>
  <c r="AL115" i="10"/>
  <c r="AQ80" i="10"/>
  <c r="AR80" i="10"/>
  <c r="AS80" i="10"/>
  <c r="AI157" i="10"/>
  <c r="AM157" i="10" s="1"/>
  <c r="AN157" i="10" s="1"/>
  <c r="AO157" i="10" s="1"/>
  <c r="AL157" i="10"/>
  <c r="AL181" i="10"/>
  <c r="AI181" i="10"/>
  <c r="AM181" i="10" s="1"/>
  <c r="AN181" i="10" s="1"/>
  <c r="AO181" i="10" s="1"/>
  <c r="AN93" i="10"/>
  <c r="AO93" i="10" s="1"/>
  <c r="AQ60" i="10"/>
  <c r="AR60" i="10"/>
  <c r="AS60" i="10"/>
  <c r="AI133" i="10"/>
  <c r="AM133" i="10" s="1"/>
  <c r="AN133" i="10" s="1"/>
  <c r="AO133" i="10" s="1"/>
  <c r="AL133" i="10"/>
  <c r="AL130" i="10"/>
  <c r="AI130" i="10"/>
  <c r="AM130" i="10" s="1"/>
  <c r="AN130" i="10" s="1"/>
  <c r="AO130" i="10" s="1"/>
  <c r="AR159" i="10"/>
  <c r="AS159" i="10"/>
  <c r="AQ159" i="10"/>
  <c r="AL141" i="10"/>
  <c r="AI141" i="10"/>
  <c r="AM141" i="10" s="1"/>
  <c r="AN141" i="10" s="1"/>
  <c r="AO141" i="10" s="1"/>
  <c r="AQ126" i="10"/>
  <c r="AR126" i="10"/>
  <c r="AS126" i="10"/>
  <c r="AI172" i="10"/>
  <c r="AM172" i="10" s="1"/>
  <c r="AN172" i="10" s="1"/>
  <c r="AO172" i="10" s="1"/>
  <c r="AL172" i="10"/>
  <c r="AQ158" i="10"/>
  <c r="AS158" i="10"/>
  <c r="AR158" i="10"/>
  <c r="AS107" i="10"/>
  <c r="AQ107" i="10"/>
  <c r="AR107" i="10"/>
  <c r="AS134" i="10"/>
  <c r="AR134" i="10"/>
  <c r="AQ134" i="10"/>
  <c r="AI125" i="10"/>
  <c r="AM125" i="10" s="1"/>
  <c r="AN125" i="10" s="1"/>
  <c r="AO125" i="10" s="1"/>
  <c r="AL125" i="10"/>
  <c r="AI160" i="10"/>
  <c r="AM160" i="10" s="1"/>
  <c r="AN160" i="10" s="1"/>
  <c r="AO160" i="10" s="1"/>
  <c r="AL160" i="10"/>
  <c r="AN150" i="10"/>
  <c r="AO150" i="10" s="1"/>
  <c r="H8" i="28"/>
  <c r="Q58" i="14"/>
  <c r="Q57" i="14" s="1"/>
  <c r="Q56" i="14" s="1"/>
  <c r="Q55" i="14" s="1"/>
  <c r="Q54" i="14" s="1"/>
  <c r="Q53" i="14" s="1"/>
  <c r="Q52" i="14" s="1"/>
  <c r="Q51" i="14" s="1"/>
  <c r="Q50" i="14" s="1"/>
  <c r="Q49" i="14" s="1"/>
  <c r="AQ84" i="10"/>
  <c r="AR84" i="10"/>
  <c r="AS84" i="10"/>
  <c r="AR168" i="10"/>
  <c r="AQ168" i="10"/>
  <c r="AS168" i="10"/>
  <c r="AR109" i="10"/>
  <c r="AS109" i="10"/>
  <c r="AQ109" i="10"/>
  <c r="AR184" i="10"/>
  <c r="AQ184" i="10"/>
  <c r="AS184" i="10"/>
  <c r="AO100" i="10"/>
  <c r="B52" i="28"/>
  <c r="T6" i="7" s="1"/>
  <c r="T14" i="7" s="1"/>
  <c r="C21" i="18"/>
  <c r="AN169" i="10"/>
  <c r="AO169" i="10" s="1"/>
  <c r="AL140" i="10"/>
  <c r="AI140" i="10"/>
  <c r="AM140" i="10" s="1"/>
  <c r="AN140" i="10" s="1"/>
  <c r="AO140" i="10" s="1"/>
  <c r="AL131" i="10"/>
  <c r="AI131" i="10"/>
  <c r="AM131" i="10" s="1"/>
  <c r="AN131" i="10" s="1"/>
  <c r="AO131" i="10" s="1"/>
  <c r="AL139" i="10"/>
  <c r="AI139" i="10"/>
  <c r="AM139" i="10" s="1"/>
  <c r="AN139" i="10" s="1"/>
  <c r="AO139" i="10" s="1"/>
  <c r="AL153" i="10"/>
  <c r="AI153" i="10"/>
  <c r="AM153" i="10" s="1"/>
  <c r="AI178" i="10"/>
  <c r="AM178" i="10" s="1"/>
  <c r="AN178" i="10" s="1"/>
  <c r="AO178" i="10" s="1"/>
  <c r="AL178" i="10"/>
  <c r="AL164" i="10"/>
  <c r="AI164" i="10"/>
  <c r="AM164" i="10" s="1"/>
  <c r="AN164" i="10" s="1"/>
  <c r="AO164" i="10" s="1"/>
  <c r="AI174" i="10"/>
  <c r="AM174" i="10" s="1"/>
  <c r="AN174" i="10" s="1"/>
  <c r="AO174" i="10" s="1"/>
  <c r="AL174" i="10"/>
  <c r="AL103" i="10"/>
  <c r="AI103" i="10"/>
  <c r="AM103" i="10" s="1"/>
  <c r="AN103" i="10" s="1"/>
  <c r="AO103" i="10" s="1"/>
  <c r="AO86" i="10"/>
  <c r="AL143" i="10"/>
  <c r="AI143" i="10"/>
  <c r="AM143" i="10" s="1"/>
  <c r="AN143" i="10" s="1"/>
  <c r="AO143" i="10" s="1"/>
  <c r="AL156" i="10"/>
  <c r="AI156" i="10"/>
  <c r="AM156" i="10" s="1"/>
  <c r="AN156" i="10" s="1"/>
  <c r="AO156" i="10" s="1"/>
  <c r="AN69" i="10"/>
  <c r="AO69" i="10" s="1"/>
  <c r="AI161" i="10"/>
  <c r="AM161" i="10" s="1"/>
  <c r="AN161" i="10" s="1"/>
  <c r="AO161" i="10" s="1"/>
  <c r="AL161" i="10"/>
  <c r="AS183" i="10"/>
  <c r="AQ183" i="10"/>
  <c r="AR183" i="10"/>
  <c r="AN95" i="10"/>
  <c r="AO95" i="10" s="1"/>
  <c r="AI176" i="10"/>
  <c r="AM176" i="10" s="1"/>
  <c r="AN176" i="10" s="1"/>
  <c r="AO176" i="10" s="1"/>
  <c r="AL176" i="10"/>
  <c r="AI124" i="10"/>
  <c r="AM124" i="10" s="1"/>
  <c r="AN124" i="10" s="1"/>
  <c r="AO124" i="10" s="1"/>
  <c r="AL124" i="10"/>
  <c r="I8" i="28"/>
  <c r="R58" i="14"/>
  <c r="R57" i="14" s="1"/>
  <c r="R56" i="14" s="1"/>
  <c r="R55" i="14" s="1"/>
  <c r="R54" i="14" s="1"/>
  <c r="R53" i="14" s="1"/>
  <c r="R52" i="14" s="1"/>
  <c r="R51" i="14" s="1"/>
  <c r="R50" i="14" s="1"/>
  <c r="R49" i="14" s="1"/>
  <c r="AQ87" i="10"/>
  <c r="AR87" i="10"/>
  <c r="AS87" i="10"/>
  <c r="AL114" i="10"/>
  <c r="AI114" i="10"/>
  <c r="AM114" i="10" s="1"/>
  <c r="AN114" i="10" s="1"/>
  <c r="AO114" i="10" s="1"/>
  <c r="AQ145" i="10"/>
  <c r="AR145" i="10"/>
  <c r="AS145" i="10"/>
  <c r="AS70" i="10"/>
  <c r="AQ70" i="10"/>
  <c r="AR70" i="10"/>
  <c r="AQ146" i="10"/>
  <c r="AR146" i="10"/>
  <c r="AS146" i="10"/>
  <c r="AL154" i="10"/>
  <c r="AI154" i="10"/>
  <c r="AM154" i="10" s="1"/>
  <c r="AI171" i="10"/>
  <c r="AM171" i="10" s="1"/>
  <c r="AN171" i="10" s="1"/>
  <c r="AO171" i="10" s="1"/>
  <c r="AL171" i="10"/>
  <c r="AI175" i="10"/>
  <c r="AM175" i="10" s="1"/>
  <c r="AN175" i="10" s="1"/>
  <c r="AO175" i="10" s="1"/>
  <c r="AL175" i="10"/>
  <c r="AN91" i="10"/>
  <c r="AO91" i="10" s="1"/>
  <c r="AS182" i="10"/>
  <c r="AR182" i="10"/>
  <c r="AQ182" i="10"/>
  <c r="AS108" i="10"/>
  <c r="AR108" i="10"/>
  <c r="AQ108" i="10"/>
  <c r="AN117" i="10"/>
  <c r="AO117" i="10" s="1"/>
  <c r="AS110" i="10"/>
  <c r="AR110" i="10"/>
  <c r="AQ110" i="10"/>
  <c r="AR82" i="10"/>
  <c r="AQ82" i="10"/>
  <c r="AS82" i="10"/>
  <c r="AO116" i="10"/>
  <c r="AN72" i="10"/>
  <c r="AO72" i="10" s="1"/>
  <c r="AN119" i="10"/>
  <c r="AO119" i="10" s="1"/>
  <c r="AQ135" i="10"/>
  <c r="AS135" i="10"/>
  <c r="AR135" i="10"/>
  <c r="AR79" i="10"/>
  <c r="AQ79" i="10"/>
  <c r="AS79" i="10"/>
  <c r="AL167" i="10"/>
  <c r="AI167" i="10"/>
  <c r="AM167" i="10" s="1"/>
  <c r="AN167" i="10" s="1"/>
  <c r="AO167" i="10" s="1"/>
  <c r="AL165" i="10"/>
  <c r="AI165" i="10"/>
  <c r="AM165" i="10" s="1"/>
  <c r="AN165" i="10" s="1"/>
  <c r="AO165" i="10" s="1"/>
  <c r="AQ67" i="10"/>
  <c r="AS67" i="10"/>
  <c r="AR67" i="10"/>
  <c r="AQ138" i="10"/>
  <c r="AS138" i="10"/>
  <c r="AR138" i="10"/>
  <c r="AR81" i="10"/>
  <c r="AQ81" i="10"/>
  <c r="AS81" i="10"/>
  <c r="AS173" i="10"/>
  <c r="AR173" i="10"/>
  <c r="AQ173" i="10"/>
  <c r="AL104" i="10"/>
  <c r="AI104" i="10"/>
  <c r="AM104" i="10" s="1"/>
  <c r="AN104" i="10" s="1"/>
  <c r="AO104" i="10" s="1"/>
  <c r="AI166" i="10"/>
  <c r="AM166" i="10" s="1"/>
  <c r="AN166" i="10" s="1"/>
  <c r="AO166" i="10" s="1"/>
  <c r="AL166" i="10"/>
  <c r="AI113" i="10"/>
  <c r="AM113" i="10" s="1"/>
  <c r="AN113" i="10" s="1"/>
  <c r="AO113" i="10" s="1"/>
  <c r="AL113" i="10"/>
  <c r="AS65" i="10"/>
  <c r="AR65" i="10"/>
  <c r="AQ65" i="10"/>
  <c r="AS147" i="10"/>
  <c r="AR147" i="10"/>
  <c r="AQ147" i="10"/>
  <c r="AN96" i="10"/>
  <c r="AO96" i="10" s="1"/>
  <c r="AI129" i="10"/>
  <c r="AM129" i="10" s="1"/>
  <c r="AN129" i="10" s="1"/>
  <c r="AO129" i="10" s="1"/>
  <c r="AL129" i="10"/>
  <c r="AN163" i="10"/>
  <c r="AO163" i="10" s="1"/>
  <c r="AL180" i="10"/>
  <c r="AI180" i="10"/>
  <c r="AM180" i="10" s="1"/>
  <c r="AN180" i="10" s="1"/>
  <c r="AO180" i="10" s="1"/>
  <c r="AS149" i="10"/>
  <c r="AR149" i="10"/>
  <c r="AQ149" i="10"/>
  <c r="AI111" i="10"/>
  <c r="AM111" i="10" s="1"/>
  <c r="AN111" i="10" s="1"/>
  <c r="AO111" i="10" s="1"/>
  <c r="AL111" i="10"/>
  <c r="AS136" i="10"/>
  <c r="AQ136" i="10"/>
  <c r="AR136" i="10"/>
  <c r="AL132" i="10"/>
  <c r="AI132" i="10"/>
  <c r="AM132" i="10" s="1"/>
  <c r="AN132" i="10" s="1"/>
  <c r="AO132" i="10" s="1"/>
  <c r="AI123" i="10"/>
  <c r="AM123" i="10" s="1"/>
  <c r="AN123" i="10" s="1"/>
  <c r="AO123" i="10" s="1"/>
  <c r="AL123" i="10"/>
  <c r="V155" i="10"/>
  <c r="AQ85" i="10"/>
  <c r="AS85" i="10"/>
  <c r="AN92" i="10"/>
  <c r="AO92" i="10" s="1"/>
  <c r="AN71" i="10"/>
  <c r="AO71" i="10" s="1"/>
  <c r="AN61" i="10"/>
  <c r="AO61" i="10" s="1"/>
  <c r="AN127" i="10"/>
  <c r="AO127" i="10" s="1"/>
  <c r="AL144" i="10"/>
  <c r="AI144" i="10"/>
  <c r="AM144" i="10" s="1"/>
  <c r="AN144" i="10" s="1"/>
  <c r="AO144" i="10" s="1"/>
  <c r="AI155" i="10"/>
  <c r="AM155" i="10" s="1"/>
  <c r="AL155" i="10"/>
  <c r="J423" i="4"/>
  <c r="K423" i="4"/>
  <c r="I526" i="6"/>
  <c r="J526" i="6"/>
  <c r="M526" i="6"/>
  <c r="J245" i="4"/>
  <c r="K245" i="4"/>
  <c r="J371" i="6"/>
  <c r="I371" i="6"/>
  <c r="M371" i="6"/>
  <c r="J131" i="4"/>
  <c r="K131" i="4"/>
  <c r="J381" i="6"/>
  <c r="I381" i="6"/>
  <c r="M381" i="6"/>
  <c r="J104" i="6"/>
  <c r="I104" i="6"/>
  <c r="M104" i="6"/>
  <c r="K383" i="4"/>
  <c r="J383" i="4"/>
  <c r="K398" i="4"/>
  <c r="J398" i="4"/>
  <c r="K228" i="4"/>
  <c r="J228" i="4"/>
  <c r="J526" i="4"/>
  <c r="K526" i="4"/>
  <c r="J261" i="4"/>
  <c r="K261" i="4"/>
  <c r="J116" i="4"/>
  <c r="K116" i="4"/>
  <c r="J466" i="4"/>
  <c r="K466" i="4"/>
  <c r="J269" i="4"/>
  <c r="K269" i="4"/>
  <c r="K206" i="4"/>
  <c r="J206" i="4"/>
  <c r="J450" i="4"/>
  <c r="K450" i="4"/>
  <c r="J328" i="6"/>
  <c r="M328" i="6"/>
  <c r="I328" i="6"/>
  <c r="J413" i="6"/>
  <c r="M413" i="6"/>
  <c r="I413" i="6"/>
  <c r="I228" i="6"/>
  <c r="J228" i="6"/>
  <c r="M228" i="6"/>
  <c r="J77" i="6"/>
  <c r="I77" i="6"/>
  <c r="M77" i="6"/>
  <c r="I23" i="6"/>
  <c r="J23" i="6"/>
  <c r="M23" i="6"/>
  <c r="J255" i="6"/>
  <c r="I255" i="6"/>
  <c r="M255" i="6"/>
  <c r="J148" i="6"/>
  <c r="I148" i="6"/>
  <c r="M148" i="6"/>
  <c r="J309" i="6"/>
  <c r="I309" i="6"/>
  <c r="M309" i="6"/>
  <c r="I447" i="6"/>
  <c r="J447" i="6"/>
  <c r="M447" i="6"/>
  <c r="J305" i="6"/>
  <c r="I305" i="6"/>
  <c r="M305" i="6"/>
  <c r="J146" i="6"/>
  <c r="I146" i="6"/>
  <c r="M146" i="6"/>
  <c r="J40" i="6"/>
  <c r="M40" i="6"/>
  <c r="I40" i="6"/>
  <c r="J17" i="6"/>
  <c r="I17" i="6"/>
  <c r="M17" i="6"/>
  <c r="I239" i="6"/>
  <c r="J239" i="6"/>
  <c r="M239" i="6"/>
  <c r="I7" i="6"/>
  <c r="J7" i="6"/>
  <c r="M7" i="6"/>
  <c r="I330" i="6"/>
  <c r="J330" i="6"/>
  <c r="M330" i="6"/>
  <c r="I38" i="6"/>
  <c r="J38" i="6"/>
  <c r="M38" i="6"/>
  <c r="J132" i="6"/>
  <c r="M132" i="6"/>
  <c r="I132" i="6"/>
  <c r="J354" i="6"/>
  <c r="I354" i="6"/>
  <c r="M354" i="6"/>
  <c r="J127" i="6"/>
  <c r="M127" i="6"/>
  <c r="I127" i="6"/>
  <c r="M71" i="6"/>
  <c r="I71" i="6"/>
  <c r="J71" i="6"/>
  <c r="K371" i="4"/>
  <c r="J371" i="4"/>
  <c r="J90" i="4"/>
  <c r="K90" i="4"/>
  <c r="J300" i="4"/>
  <c r="K300" i="4"/>
  <c r="K468" i="4"/>
  <c r="J468" i="4"/>
  <c r="J316" i="6"/>
  <c r="I316" i="6"/>
  <c r="M316" i="6"/>
  <c r="J503" i="4"/>
  <c r="K503" i="4"/>
  <c r="I187" i="6"/>
  <c r="J187" i="6"/>
  <c r="M187" i="6"/>
  <c r="I482" i="6"/>
  <c r="J482" i="6"/>
  <c r="M482" i="6"/>
  <c r="K18" i="5"/>
  <c r="J18" i="5"/>
  <c r="K213" i="4"/>
  <c r="J213" i="4"/>
  <c r="K23" i="5"/>
  <c r="J23" i="5"/>
  <c r="J74" i="5"/>
  <c r="K74" i="5"/>
  <c r="J38" i="5"/>
  <c r="K38" i="5"/>
  <c r="K12" i="7"/>
  <c r="J12" i="7"/>
  <c r="O12" i="7"/>
  <c r="Z12" i="7" s="1"/>
  <c r="AA12" i="7" s="1"/>
  <c r="J177" i="4"/>
  <c r="K177" i="4"/>
  <c r="K221" i="4"/>
  <c r="J221" i="4"/>
  <c r="K82" i="4"/>
  <c r="J82" i="4"/>
  <c r="J479" i="4"/>
  <c r="K479" i="4"/>
  <c r="J114" i="4"/>
  <c r="K114" i="4"/>
  <c r="J226" i="4"/>
  <c r="K226" i="4"/>
  <c r="K271" i="4"/>
  <c r="J271" i="4"/>
  <c r="K430" i="4"/>
  <c r="J430" i="4"/>
  <c r="J351" i="4"/>
  <c r="K351" i="4"/>
  <c r="K248" i="4"/>
  <c r="J248" i="4"/>
  <c r="J544" i="4"/>
  <c r="K544" i="4"/>
  <c r="J194" i="4"/>
  <c r="K194" i="4"/>
  <c r="K13" i="5"/>
  <c r="J13" i="5"/>
  <c r="J29" i="5"/>
  <c r="K29" i="5"/>
  <c r="J53" i="5"/>
  <c r="K53" i="5"/>
  <c r="K11" i="7"/>
  <c r="J11" i="7"/>
  <c r="O11" i="7"/>
  <c r="Z11" i="7" s="1"/>
  <c r="AA11" i="7" s="1"/>
  <c r="J551" i="4"/>
  <c r="K551" i="4"/>
  <c r="J531" i="4"/>
  <c r="K531" i="4"/>
  <c r="J113" i="4"/>
  <c r="K113" i="4"/>
  <c r="J120" i="4"/>
  <c r="K120" i="4"/>
  <c r="J231" i="4"/>
  <c r="K231" i="4"/>
  <c r="K511" i="4"/>
  <c r="J511" i="4"/>
  <c r="J352" i="4"/>
  <c r="K352" i="4"/>
  <c r="J292" i="4"/>
  <c r="K292" i="4"/>
  <c r="J10" i="4"/>
  <c r="K10" i="4"/>
  <c r="K133" i="4"/>
  <c r="J133" i="4"/>
  <c r="K59" i="4"/>
  <c r="J59" i="4"/>
  <c r="K534" i="4"/>
  <c r="J534" i="4"/>
  <c r="J553" i="4"/>
  <c r="K553" i="4"/>
  <c r="J453" i="4"/>
  <c r="K453" i="4"/>
  <c r="J527" i="4"/>
  <c r="K527" i="4"/>
  <c r="K397" i="4"/>
  <c r="J397" i="4"/>
  <c r="J409" i="4"/>
  <c r="K409" i="4"/>
  <c r="J174" i="4"/>
  <c r="K174" i="4"/>
  <c r="J316" i="4"/>
  <c r="K316" i="4"/>
  <c r="K176" i="4"/>
  <c r="J176" i="4"/>
  <c r="K491" i="4"/>
  <c r="J491" i="4"/>
  <c r="J168" i="4"/>
  <c r="K168" i="4"/>
  <c r="J268" i="6"/>
  <c r="I268" i="6"/>
  <c r="M268" i="6"/>
  <c r="J414" i="6"/>
  <c r="I414" i="6"/>
  <c r="M414" i="6"/>
  <c r="J497" i="6"/>
  <c r="I497" i="6"/>
  <c r="M497" i="6"/>
  <c r="I435" i="6"/>
  <c r="J435" i="6"/>
  <c r="M435" i="6"/>
  <c r="I375" i="6"/>
  <c r="J375" i="6"/>
  <c r="M375" i="6"/>
  <c r="J360" i="6"/>
  <c r="M360" i="6"/>
  <c r="I360" i="6"/>
  <c r="I392" i="6"/>
  <c r="J392" i="6"/>
  <c r="M392" i="6"/>
  <c r="M152" i="6"/>
  <c r="J152" i="6"/>
  <c r="I152" i="6"/>
  <c r="J527" i="6"/>
  <c r="M527" i="6"/>
  <c r="I527" i="6"/>
  <c r="I479" i="6"/>
  <c r="J479" i="6"/>
  <c r="M479" i="6"/>
  <c r="I32" i="6"/>
  <c r="M32" i="6"/>
  <c r="J32" i="6"/>
  <c r="I386" i="6"/>
  <c r="J386" i="6"/>
  <c r="M386" i="6"/>
  <c r="J459" i="6"/>
  <c r="I459" i="6"/>
  <c r="M459" i="6"/>
  <c r="J516" i="6"/>
  <c r="I516" i="6"/>
  <c r="M516" i="6"/>
  <c r="I129" i="6"/>
  <c r="M129" i="6"/>
  <c r="J129" i="6"/>
  <c r="I28" i="6"/>
  <c r="M28" i="6"/>
  <c r="J28" i="6"/>
  <c r="J103" i="6"/>
  <c r="I103" i="6"/>
  <c r="M103" i="6"/>
  <c r="J143" i="6"/>
  <c r="I143" i="6"/>
  <c r="M143" i="6"/>
  <c r="J206" i="6"/>
  <c r="I206" i="6"/>
  <c r="M206" i="6"/>
  <c r="I314" i="6"/>
  <c r="J314" i="6"/>
  <c r="M314" i="6"/>
  <c r="M141" i="6"/>
  <c r="J141" i="6"/>
  <c r="I141" i="6"/>
  <c r="K445" i="4"/>
  <c r="J445" i="4"/>
  <c r="I554" i="6"/>
  <c r="J554" i="6"/>
  <c r="M554" i="6"/>
  <c r="M251" i="6"/>
  <c r="J251" i="6"/>
  <c r="I251" i="6"/>
  <c r="J429" i="4"/>
  <c r="K429" i="4"/>
  <c r="I122" i="6"/>
  <c r="J122" i="6"/>
  <c r="M122" i="6"/>
  <c r="M339" i="6"/>
  <c r="J339" i="6"/>
  <c r="I339" i="6"/>
  <c r="J21" i="5"/>
  <c r="K21" i="5"/>
  <c r="K375" i="4"/>
  <c r="J375" i="4"/>
  <c r="K513" i="4"/>
  <c r="J513" i="4"/>
  <c r="I219" i="6"/>
  <c r="J219" i="6"/>
  <c r="M219" i="6"/>
  <c r="J70" i="5"/>
  <c r="K70" i="5"/>
  <c r="J64" i="5"/>
  <c r="K64" i="5"/>
  <c r="J16" i="5"/>
  <c r="K16" i="5"/>
  <c r="K8" i="4"/>
  <c r="J8" i="4"/>
  <c r="J425" i="4"/>
  <c r="K425" i="4"/>
  <c r="K405" i="4"/>
  <c r="J405" i="4"/>
  <c r="J61" i="4"/>
  <c r="K61" i="4"/>
  <c r="J321" i="4"/>
  <c r="J34" i="4"/>
  <c r="K34" i="4"/>
  <c r="J463" i="4"/>
  <c r="K463" i="4"/>
  <c r="K518" i="4"/>
  <c r="J518" i="4"/>
  <c r="J83" i="4"/>
  <c r="K83" i="4"/>
  <c r="K50" i="4"/>
  <c r="J50" i="4"/>
  <c r="K349" i="4"/>
  <c r="J349" i="4"/>
  <c r="J67" i="4"/>
  <c r="K67" i="4"/>
  <c r="K205" i="4"/>
  <c r="J205" i="4"/>
  <c r="J160" i="4"/>
  <c r="K160" i="4"/>
  <c r="K46" i="4"/>
  <c r="J46" i="4"/>
  <c r="K265" i="4"/>
  <c r="J265" i="4"/>
  <c r="K419" i="4"/>
  <c r="J419" i="4"/>
  <c r="J369" i="4"/>
  <c r="K369" i="4"/>
  <c r="J343" i="4"/>
  <c r="K343" i="4"/>
  <c r="J201" i="4"/>
  <c r="K201" i="4"/>
  <c r="J23" i="4"/>
  <c r="K23" i="4"/>
  <c r="J159" i="4"/>
  <c r="K159" i="4"/>
  <c r="I63" i="6"/>
  <c r="J63" i="6"/>
  <c r="M63" i="6"/>
  <c r="J107" i="6"/>
  <c r="I107" i="6"/>
  <c r="M107" i="6"/>
  <c r="J514" i="6"/>
  <c r="I514" i="6"/>
  <c r="M514" i="6"/>
  <c r="M361" i="6"/>
  <c r="I361" i="6"/>
  <c r="J361" i="6"/>
  <c r="J263" i="6"/>
  <c r="M263" i="6"/>
  <c r="I263" i="6"/>
  <c r="J11" i="6"/>
  <c r="I11" i="6"/>
  <c r="M11" i="6"/>
  <c r="J388" i="6"/>
  <c r="I388" i="6"/>
  <c r="M388" i="6"/>
  <c r="I366" i="6"/>
  <c r="J366" i="6"/>
  <c r="M366" i="6"/>
  <c r="I149" i="6"/>
  <c r="J149" i="6"/>
  <c r="M149" i="6"/>
  <c r="J16" i="6"/>
  <c r="I16" i="6"/>
  <c r="M16" i="6"/>
  <c r="J266" i="6"/>
  <c r="I266" i="6"/>
  <c r="M266" i="6"/>
  <c r="J269" i="6"/>
  <c r="I269" i="6"/>
  <c r="M269" i="6"/>
  <c r="J102" i="6"/>
  <c r="I102" i="6"/>
  <c r="M102" i="6"/>
  <c r="M520" i="6"/>
  <c r="J520" i="6"/>
  <c r="I520" i="6"/>
  <c r="J220" i="6"/>
  <c r="I220" i="6"/>
  <c r="M220" i="6"/>
  <c r="I110" i="6"/>
  <c r="J110" i="6"/>
  <c r="M110" i="6"/>
  <c r="I267" i="6"/>
  <c r="J267" i="6"/>
  <c r="M267" i="6"/>
  <c r="J292" i="6"/>
  <c r="I292" i="6"/>
  <c r="M292" i="6"/>
  <c r="J30" i="6"/>
  <c r="I30" i="6"/>
  <c r="M30" i="6"/>
  <c r="J214" i="6"/>
  <c r="M214" i="6"/>
  <c r="I214" i="6"/>
  <c r="J368" i="6"/>
  <c r="M368" i="6"/>
  <c r="I368" i="6"/>
  <c r="J181" i="6"/>
  <c r="I181" i="6"/>
  <c r="M181" i="6"/>
  <c r="J397" i="6"/>
  <c r="M397" i="6"/>
  <c r="I397" i="6"/>
  <c r="J106" i="6"/>
  <c r="I106" i="6"/>
  <c r="M106" i="6"/>
  <c r="J60" i="5"/>
  <c r="K60" i="5"/>
  <c r="K27" i="5"/>
  <c r="J27" i="5"/>
  <c r="K75" i="5"/>
  <c r="J75" i="5"/>
  <c r="J86" i="4"/>
  <c r="K86" i="4"/>
  <c r="K222" i="4"/>
  <c r="J222" i="4"/>
  <c r="K330" i="4"/>
  <c r="J330" i="4"/>
  <c r="J359" i="4"/>
  <c r="K359" i="4"/>
  <c r="K471" i="4"/>
  <c r="J471" i="4"/>
  <c r="J217" i="4"/>
  <c r="K217" i="4"/>
  <c r="K37" i="4"/>
  <c r="J37" i="4"/>
  <c r="J20" i="4"/>
  <c r="K20" i="4"/>
  <c r="K522" i="4"/>
  <c r="J522" i="4"/>
  <c r="K42" i="4"/>
  <c r="J42" i="4"/>
  <c r="K251" i="4"/>
  <c r="J251" i="4"/>
  <c r="J121" i="4"/>
  <c r="K121" i="4"/>
  <c r="K98" i="4"/>
  <c r="J98" i="4"/>
  <c r="J482" i="4"/>
  <c r="K482" i="4"/>
  <c r="J276" i="4"/>
  <c r="K276" i="4"/>
  <c r="J152" i="4"/>
  <c r="K152" i="4"/>
  <c r="J283" i="4"/>
  <c r="K283" i="4"/>
  <c r="K481" i="4"/>
  <c r="J481" i="4"/>
  <c r="J259" i="4"/>
  <c r="K259" i="4"/>
  <c r="K72" i="4"/>
  <c r="J72" i="4"/>
  <c r="K438" i="4"/>
  <c r="J438" i="4"/>
  <c r="I45" i="6"/>
  <c r="J45" i="6"/>
  <c r="M45" i="6"/>
  <c r="J341" i="6"/>
  <c r="I341" i="6"/>
  <c r="M341" i="6"/>
  <c r="I201" i="6"/>
  <c r="M201" i="6"/>
  <c r="J201" i="6"/>
  <c r="J409" i="6"/>
  <c r="I409" i="6"/>
  <c r="M409" i="6"/>
  <c r="J46" i="6"/>
  <c r="I46" i="6"/>
  <c r="M46" i="6"/>
  <c r="J257" i="6"/>
  <c r="I257" i="6"/>
  <c r="M257" i="6"/>
  <c r="J241" i="6"/>
  <c r="I241" i="6"/>
  <c r="M241" i="6"/>
  <c r="J57" i="6"/>
  <c r="I57" i="6"/>
  <c r="M57" i="6"/>
  <c r="J507" i="6"/>
  <c r="I507" i="6"/>
  <c r="M507" i="6"/>
  <c r="J404" i="6"/>
  <c r="I404" i="6"/>
  <c r="M404" i="6"/>
  <c r="J356" i="6"/>
  <c r="I356" i="6"/>
  <c r="M356" i="6"/>
  <c r="J139" i="6"/>
  <c r="I139" i="6"/>
  <c r="M139" i="6"/>
  <c r="J444" i="6"/>
  <c r="I444" i="6"/>
  <c r="M444" i="6"/>
  <c r="J308" i="6"/>
  <c r="I308" i="6"/>
  <c r="M308" i="6"/>
  <c r="I515" i="6"/>
  <c r="J353" i="6"/>
  <c r="I353" i="6"/>
  <c r="M353" i="6"/>
  <c r="J485" i="6"/>
  <c r="I485" i="6"/>
  <c r="M485" i="6"/>
  <c r="I190" i="6"/>
  <c r="J190" i="6"/>
  <c r="M190" i="6"/>
  <c r="J294" i="6"/>
  <c r="I294" i="6"/>
  <c r="M294" i="6"/>
  <c r="J476" i="6"/>
  <c r="I476" i="6"/>
  <c r="M476" i="6"/>
  <c r="M529" i="6"/>
  <c r="J529" i="6"/>
  <c r="I529" i="6"/>
  <c r="M165" i="6"/>
  <c r="J165" i="6"/>
  <c r="I165" i="6"/>
  <c r="J52" i="6"/>
  <c r="I52" i="6"/>
  <c r="M52" i="6"/>
  <c r="J41" i="5"/>
  <c r="K41" i="5"/>
  <c r="K68" i="5"/>
  <c r="J68" i="5"/>
  <c r="K65" i="5"/>
  <c r="J65" i="5"/>
  <c r="J301" i="4"/>
  <c r="K301" i="4"/>
  <c r="K94" i="4"/>
  <c r="J94" i="4"/>
  <c r="J545" i="4"/>
  <c r="K545" i="4"/>
  <c r="K199" i="4"/>
  <c r="J199" i="4"/>
  <c r="J134" i="4"/>
  <c r="K134" i="4"/>
  <c r="J79" i="4"/>
  <c r="K79" i="4"/>
  <c r="J361" i="4"/>
  <c r="K361" i="4"/>
  <c r="J329" i="4"/>
  <c r="K329" i="4"/>
  <c r="K32" i="4"/>
  <c r="J32" i="4"/>
  <c r="K325" i="4"/>
  <c r="J325" i="4"/>
  <c r="J350" i="4"/>
  <c r="K350" i="4"/>
  <c r="K65" i="4"/>
  <c r="J65" i="4"/>
  <c r="J521" i="4"/>
  <c r="K521" i="4"/>
  <c r="J327" i="4"/>
  <c r="K327" i="4"/>
  <c r="J385" i="4"/>
  <c r="K385" i="4"/>
  <c r="J109" i="4"/>
  <c r="K109" i="4"/>
  <c r="J507" i="4"/>
  <c r="K507" i="4"/>
  <c r="K494" i="4"/>
  <c r="J494" i="4"/>
  <c r="K433" i="4"/>
  <c r="J433" i="4"/>
  <c r="J461" i="4"/>
  <c r="K461" i="4"/>
  <c r="J334" i="4"/>
  <c r="K334" i="4"/>
  <c r="I405" i="6"/>
  <c r="J405" i="6"/>
  <c r="M405" i="6"/>
  <c r="J452" i="6"/>
  <c r="I452" i="6"/>
  <c r="M452" i="6"/>
  <c r="M451" i="6"/>
  <c r="J451" i="6"/>
  <c r="I451" i="6"/>
  <c r="J296" i="6"/>
  <c r="I296" i="6"/>
  <c r="M296" i="6"/>
  <c r="J42" i="6"/>
  <c r="I42" i="6"/>
  <c r="M42" i="6"/>
  <c r="J542" i="6"/>
  <c r="I542" i="6"/>
  <c r="M542" i="6"/>
  <c r="I207" i="6"/>
  <c r="J207" i="6"/>
  <c r="M207" i="6"/>
  <c r="I99" i="6"/>
  <c r="J99" i="6"/>
  <c r="M99" i="6"/>
  <c r="I283" i="6"/>
  <c r="M283" i="6"/>
  <c r="J283" i="6"/>
  <c r="I543" i="6"/>
  <c r="J543" i="6"/>
  <c r="M543" i="6"/>
  <c r="I259" i="6"/>
  <c r="J259" i="6"/>
  <c r="M259" i="6"/>
  <c r="J95" i="6"/>
  <c r="I95" i="6"/>
  <c r="M95" i="6"/>
  <c r="M464" i="6"/>
  <c r="I464" i="6"/>
  <c r="J464" i="6"/>
  <c r="M222" i="6"/>
  <c r="J222" i="6"/>
  <c r="I222" i="6"/>
  <c r="M312" i="6"/>
  <c r="J312" i="6"/>
  <c r="I312" i="6"/>
  <c r="J44" i="6"/>
  <c r="I44" i="6"/>
  <c r="M44" i="6"/>
  <c r="M400" i="6"/>
  <c r="I400" i="6"/>
  <c r="J400" i="6"/>
  <c r="I320" i="6"/>
  <c r="J320" i="6"/>
  <c r="M320" i="6"/>
  <c r="I295" i="6"/>
  <c r="M295" i="6"/>
  <c r="J295" i="6"/>
  <c r="J505" i="6"/>
  <c r="I505" i="6"/>
  <c r="M505" i="6"/>
  <c r="J495" i="6"/>
  <c r="I495" i="6"/>
  <c r="M495" i="6"/>
  <c r="I18" i="6"/>
  <c r="M18" i="6"/>
  <c r="J18" i="6"/>
  <c r="J480" i="4"/>
  <c r="K480" i="4"/>
  <c r="J235" i="6"/>
  <c r="I235" i="6"/>
  <c r="M235" i="6"/>
  <c r="J324" i="4"/>
  <c r="K324" i="4"/>
  <c r="J174" i="6"/>
  <c r="I174" i="6"/>
  <c r="M174" i="6"/>
  <c r="K237" i="4"/>
  <c r="J237" i="4"/>
  <c r="I66" i="6"/>
  <c r="J66" i="6"/>
  <c r="M66" i="6"/>
  <c r="I131" i="6"/>
  <c r="J131" i="6"/>
  <c r="M131" i="6"/>
  <c r="J7" i="5"/>
  <c r="K7" i="5"/>
  <c r="J42" i="5"/>
  <c r="K42" i="5"/>
  <c r="K50" i="5"/>
  <c r="J50" i="5"/>
  <c r="J394" i="4"/>
  <c r="K394" i="4"/>
  <c r="J141" i="4"/>
  <c r="K141" i="4"/>
  <c r="K62" i="4"/>
  <c r="J62" i="4"/>
  <c r="J314" i="4"/>
  <c r="K314" i="4"/>
  <c r="J192" i="4"/>
  <c r="K192" i="4"/>
  <c r="K27" i="4"/>
  <c r="J27" i="4"/>
  <c r="J485" i="4"/>
  <c r="K485" i="4"/>
  <c r="K89" i="4"/>
  <c r="J89" i="4"/>
  <c r="K291" i="4"/>
  <c r="J291" i="4"/>
  <c r="K516" i="4"/>
  <c r="J516" i="4"/>
  <c r="K449" i="4"/>
  <c r="J449" i="4"/>
  <c r="J153" i="4"/>
  <c r="K153" i="4"/>
  <c r="K391" i="4"/>
  <c r="J391" i="4"/>
  <c r="J272" i="4"/>
  <c r="K272" i="4"/>
  <c r="J536" i="4"/>
  <c r="K536" i="4"/>
  <c r="J137" i="4"/>
  <c r="K137" i="4"/>
  <c r="K528" i="4"/>
  <c r="J528" i="4"/>
  <c r="K448" i="4"/>
  <c r="J448" i="4"/>
  <c r="K331" i="4"/>
  <c r="J331" i="4"/>
  <c r="J162" i="4"/>
  <c r="K162" i="4"/>
  <c r="K35" i="4"/>
  <c r="J35" i="4"/>
  <c r="J556" i="4"/>
  <c r="K556" i="4"/>
  <c r="J374" i="6"/>
  <c r="I374" i="6"/>
  <c r="M374" i="6"/>
  <c r="I183" i="6"/>
  <c r="J183" i="6"/>
  <c r="M183" i="6"/>
  <c r="M441" i="6"/>
  <c r="J441" i="6"/>
  <c r="I441" i="6"/>
  <c r="J508" i="6"/>
  <c r="M508" i="6"/>
  <c r="I508" i="6"/>
  <c r="I557" i="6"/>
  <c r="J557" i="6"/>
  <c r="M557" i="6"/>
  <c r="J137" i="6"/>
  <c r="I137" i="6"/>
  <c r="M137" i="6"/>
  <c r="J385" i="6"/>
  <c r="I385" i="6"/>
  <c r="M385" i="6"/>
  <c r="I176" i="6"/>
  <c r="M176" i="6"/>
  <c r="J176" i="6"/>
  <c r="I555" i="6"/>
  <c r="J555" i="6"/>
  <c r="M555" i="6"/>
  <c r="J274" i="6"/>
  <c r="M274" i="6"/>
  <c r="I274" i="6"/>
  <c r="I449" i="6"/>
  <c r="M449" i="6"/>
  <c r="J449" i="6"/>
  <c r="I232" i="6"/>
  <c r="J232" i="6"/>
  <c r="M232" i="6"/>
  <c r="M153" i="6"/>
  <c r="J153" i="6"/>
  <c r="I153" i="6"/>
  <c r="I364" i="6"/>
  <c r="J364" i="6"/>
  <c r="M364" i="6"/>
  <c r="I55" i="6"/>
  <c r="J55" i="6"/>
  <c r="M55" i="6"/>
  <c r="M399" i="6"/>
  <c r="J399" i="6"/>
  <c r="I399" i="6"/>
  <c r="J280" i="6"/>
  <c r="M280" i="6"/>
  <c r="I280" i="6"/>
  <c r="J506" i="6"/>
  <c r="M506" i="6"/>
  <c r="I506" i="6"/>
  <c r="J372" i="6"/>
  <c r="I372" i="6"/>
  <c r="M372" i="6"/>
  <c r="J313" i="6"/>
  <c r="I313" i="6"/>
  <c r="M313" i="6"/>
  <c r="I25" i="6"/>
  <c r="M25" i="6"/>
  <c r="J25" i="6"/>
  <c r="J71" i="5"/>
  <c r="K71" i="5"/>
  <c r="J422" i="4"/>
  <c r="K422" i="4"/>
  <c r="J236" i="6"/>
  <c r="I236" i="6"/>
  <c r="M236" i="6"/>
  <c r="J195" i="4"/>
  <c r="K195" i="4"/>
  <c r="J440" i="4"/>
  <c r="K440" i="4"/>
  <c r="K147" i="4"/>
  <c r="J147" i="4"/>
  <c r="I119" i="6"/>
  <c r="J119" i="6"/>
  <c r="M119" i="6"/>
  <c r="J28" i="5"/>
  <c r="K28" i="5"/>
  <c r="J450" i="6"/>
  <c r="I450" i="6"/>
  <c r="M450" i="6"/>
  <c r="K19" i="5"/>
  <c r="J19" i="5"/>
  <c r="J78" i="5"/>
  <c r="K78" i="5"/>
  <c r="J59" i="5"/>
  <c r="K59" i="5"/>
  <c r="J411" i="4"/>
  <c r="K411" i="4"/>
  <c r="K173" i="4"/>
  <c r="J173" i="4"/>
  <c r="J43" i="4"/>
  <c r="K43" i="4"/>
  <c r="K84" i="4"/>
  <c r="J84" i="4"/>
  <c r="J105" i="4"/>
  <c r="K105" i="4"/>
  <c r="K190" i="4"/>
  <c r="J190" i="4"/>
  <c r="J370" i="4"/>
  <c r="K370" i="4"/>
  <c r="K533" i="4"/>
  <c r="J533" i="4"/>
  <c r="K282" i="4"/>
  <c r="J282" i="4"/>
  <c r="K108" i="4"/>
  <c r="J108" i="4"/>
  <c r="K442" i="4"/>
  <c r="J442" i="4"/>
  <c r="K76" i="4"/>
  <c r="J76" i="4"/>
  <c r="K117" i="4"/>
  <c r="J117" i="4"/>
  <c r="K345" i="4"/>
  <c r="J345" i="4"/>
  <c r="J278" i="4"/>
  <c r="K278" i="4"/>
  <c r="J320" i="4"/>
  <c r="K320" i="4"/>
  <c r="K241" i="4"/>
  <c r="J241" i="4"/>
  <c r="J393" i="4"/>
  <c r="K393" i="4"/>
  <c r="K286" i="4"/>
  <c r="J286" i="4"/>
  <c r="K148" i="4"/>
  <c r="J148" i="4"/>
  <c r="J103" i="4"/>
  <c r="K103" i="4"/>
  <c r="I188" i="6"/>
  <c r="J188" i="6"/>
  <c r="M188" i="6"/>
  <c r="J398" i="6"/>
  <c r="I398" i="6"/>
  <c r="M398" i="6"/>
  <c r="J260" i="6"/>
  <c r="I260" i="6"/>
  <c r="M260" i="6"/>
  <c r="J54" i="6"/>
  <c r="I54" i="6"/>
  <c r="M54" i="6"/>
  <c r="J170" i="6"/>
  <c r="I170" i="6"/>
  <c r="M170" i="6"/>
  <c r="I428" i="6"/>
  <c r="M428" i="6"/>
  <c r="J428" i="6"/>
  <c r="J185" i="6"/>
  <c r="I185" i="6"/>
  <c r="M185" i="6"/>
  <c r="J261" i="6"/>
  <c r="I261" i="6"/>
  <c r="M261" i="6"/>
  <c r="J169" i="6"/>
  <c r="I169" i="6"/>
  <c r="M169" i="6"/>
  <c r="I332" i="6"/>
  <c r="M332" i="6"/>
  <c r="J332" i="6"/>
  <c r="M156" i="6"/>
  <c r="I156" i="6"/>
  <c r="J156" i="6"/>
  <c r="I502" i="6"/>
  <c r="J502" i="6"/>
  <c r="M502" i="6"/>
  <c r="J426" i="6"/>
  <c r="I426" i="6"/>
  <c r="M426" i="6"/>
  <c r="J327" i="6"/>
  <c r="I327" i="6"/>
  <c r="M327" i="6"/>
  <c r="J101" i="6"/>
  <c r="I101" i="6"/>
  <c r="M101" i="6"/>
  <c r="I160" i="6"/>
  <c r="J160" i="6"/>
  <c r="M160" i="6"/>
  <c r="M504" i="6"/>
  <c r="I504" i="6"/>
  <c r="J504" i="6"/>
  <c r="J488" i="6"/>
  <c r="M488" i="6"/>
  <c r="I488" i="6"/>
  <c r="I484" i="6"/>
  <c r="M484" i="6"/>
  <c r="J484" i="6"/>
  <c r="J41" i="6"/>
  <c r="I41" i="6"/>
  <c r="M41" i="6"/>
  <c r="J396" i="6"/>
  <c r="I396" i="6"/>
  <c r="M396" i="6"/>
  <c r="J64" i="6"/>
  <c r="I64" i="6"/>
  <c r="M64" i="6"/>
  <c r="I297" i="6"/>
  <c r="J297" i="6"/>
  <c r="M297" i="6"/>
  <c r="J211" i="6"/>
  <c r="I211" i="6"/>
  <c r="M211" i="6"/>
  <c r="K420" i="4"/>
  <c r="J420" i="4"/>
  <c r="J502" i="4"/>
  <c r="K502" i="4"/>
  <c r="K552" i="4"/>
  <c r="J552" i="4"/>
  <c r="J548" i="6"/>
  <c r="I548" i="6"/>
  <c r="M548" i="6"/>
  <c r="J551" i="6"/>
  <c r="M551" i="6"/>
  <c r="I551" i="6"/>
  <c r="J532" i="6"/>
  <c r="I532" i="6"/>
  <c r="M532" i="6"/>
  <c r="J519" i="6"/>
  <c r="I519" i="6"/>
  <c r="M519" i="6"/>
  <c r="J233" i="6"/>
  <c r="M233" i="6"/>
  <c r="I233" i="6"/>
  <c r="I33" i="6"/>
  <c r="J33" i="6"/>
  <c r="M33" i="6"/>
  <c r="I362" i="6"/>
  <c r="J362" i="6"/>
  <c r="M362" i="6"/>
  <c r="I446" i="6"/>
  <c r="J446" i="6"/>
  <c r="M446" i="6"/>
  <c r="I58" i="6"/>
  <c r="J58" i="6"/>
  <c r="M58" i="6"/>
  <c r="I234" i="6"/>
  <c r="M234" i="6"/>
  <c r="J234" i="6"/>
  <c r="I265" i="6"/>
  <c r="J265" i="6"/>
  <c r="M265" i="6"/>
  <c r="J419" i="6"/>
  <c r="I419" i="6"/>
  <c r="M419" i="6"/>
  <c r="M462" i="6"/>
  <c r="J462" i="6"/>
  <c r="I462" i="6"/>
  <c r="I518" i="6"/>
  <c r="J518" i="6"/>
  <c r="M518" i="6"/>
  <c r="J323" i="6"/>
  <c r="I323" i="6"/>
  <c r="M323" i="6"/>
  <c r="I97" i="6"/>
  <c r="M97" i="6"/>
  <c r="J97" i="6"/>
  <c r="J25" i="4"/>
  <c r="K25" i="4"/>
  <c r="K219" i="4"/>
  <c r="J219" i="4"/>
  <c r="I317" i="6"/>
  <c r="J317" i="6"/>
  <c r="M317" i="6"/>
  <c r="I429" i="6"/>
  <c r="J429" i="6"/>
  <c r="M429" i="6"/>
  <c r="J24" i="6"/>
  <c r="I24" i="6"/>
  <c r="M24" i="6"/>
  <c r="I196" i="6"/>
  <c r="J196" i="6"/>
  <c r="M196" i="6"/>
  <c r="J26" i="6"/>
  <c r="M26" i="6"/>
  <c r="I26" i="6"/>
  <c r="J161" i="6"/>
  <c r="I161" i="6"/>
  <c r="M161" i="6"/>
  <c r="I324" i="6"/>
  <c r="J324" i="6"/>
  <c r="M324" i="6"/>
  <c r="M483" i="6"/>
  <c r="I483" i="6"/>
  <c r="J483" i="6"/>
  <c r="M193" i="6"/>
  <c r="J193" i="6"/>
  <c r="I193" i="6"/>
  <c r="I547" i="6"/>
  <c r="M547" i="6"/>
  <c r="J547" i="6"/>
  <c r="J438" i="6"/>
  <c r="I438" i="6"/>
  <c r="M438" i="6"/>
  <c r="I150" i="6"/>
  <c r="J150" i="6"/>
  <c r="M150" i="6"/>
  <c r="I387" i="6"/>
  <c r="J387" i="6"/>
  <c r="M387" i="6"/>
  <c r="K360" i="4"/>
  <c r="J360" i="4"/>
  <c r="J365" i="6"/>
  <c r="I365" i="6"/>
  <c r="M365" i="6"/>
  <c r="I120" i="6"/>
  <c r="M120" i="6"/>
  <c r="J120" i="6"/>
  <c r="J416" i="4"/>
  <c r="K416" i="4"/>
  <c r="I180" i="6"/>
  <c r="J180" i="6"/>
  <c r="M180" i="6"/>
  <c r="J311" i="6"/>
  <c r="I311" i="6"/>
  <c r="M311" i="6"/>
  <c r="J456" i="4"/>
  <c r="K456" i="4"/>
  <c r="K489" i="4"/>
  <c r="J489" i="4"/>
  <c r="J13" i="6"/>
  <c r="I13" i="6"/>
  <c r="M13" i="6"/>
  <c r="I230" i="6"/>
  <c r="J230" i="6"/>
  <c r="M230" i="6"/>
  <c r="J363" i="6"/>
  <c r="I363" i="6"/>
  <c r="M363" i="6"/>
  <c r="J246" i="6"/>
  <c r="M246" i="6"/>
  <c r="I246" i="6"/>
  <c r="M455" i="6"/>
  <c r="J455" i="6"/>
  <c r="I455" i="6"/>
  <c r="J335" i="6"/>
  <c r="M335" i="6"/>
  <c r="I335" i="6"/>
  <c r="J439" i="6"/>
  <c r="M439" i="6"/>
  <c r="I439" i="6"/>
  <c r="J158" i="6"/>
  <c r="I158" i="6"/>
  <c r="M158" i="6"/>
  <c r="I118" i="6"/>
  <c r="M118" i="6"/>
  <c r="J118" i="6"/>
  <c r="J113" i="6"/>
  <c r="I113" i="6"/>
  <c r="M113" i="6"/>
  <c r="I128" i="6"/>
  <c r="M128" i="6"/>
  <c r="J128" i="6"/>
  <c r="J84" i="6"/>
  <c r="I84" i="6"/>
  <c r="M84" i="6"/>
  <c r="I252" i="6"/>
  <c r="J252" i="6"/>
  <c r="M252" i="6"/>
  <c r="J293" i="6"/>
  <c r="I293" i="6"/>
  <c r="M293" i="6"/>
  <c r="M121" i="6"/>
  <c r="J121" i="6"/>
  <c r="I121" i="6"/>
  <c r="I256" i="6"/>
  <c r="J256" i="6"/>
  <c r="M256" i="6"/>
  <c r="K446" i="4"/>
  <c r="J446" i="4"/>
  <c r="K500" i="4"/>
  <c r="J500" i="4"/>
  <c r="I493" i="6"/>
  <c r="J493" i="6"/>
  <c r="M493" i="6"/>
  <c r="J243" i="4"/>
  <c r="K243" i="4"/>
  <c r="J434" i="4"/>
  <c r="K434" i="4"/>
  <c r="I20" i="6"/>
  <c r="M20" i="6"/>
  <c r="J20" i="6"/>
  <c r="J532" i="4"/>
  <c r="K532" i="4"/>
  <c r="M540" i="6"/>
  <c r="I540" i="6"/>
  <c r="J540" i="6"/>
  <c r="J462" i="4"/>
  <c r="K462" i="4"/>
  <c r="I50" i="6"/>
  <c r="M50" i="6"/>
  <c r="J50" i="6"/>
  <c r="M8" i="6"/>
  <c r="J8" i="6"/>
  <c r="I8" i="6"/>
  <c r="J448" i="6"/>
  <c r="I448" i="6"/>
  <c r="M448" i="6"/>
  <c r="J467" i="6"/>
  <c r="I467" i="6"/>
  <c r="M467" i="6"/>
  <c r="J322" i="6"/>
  <c r="I322" i="6"/>
  <c r="M322" i="6"/>
  <c r="M291" i="6"/>
  <c r="J291" i="6"/>
  <c r="I291" i="6"/>
  <c r="J31" i="6"/>
  <c r="I31" i="6"/>
  <c r="M31" i="6"/>
  <c r="I178" i="6"/>
  <c r="J178" i="6"/>
  <c r="M178" i="6"/>
  <c r="I74" i="6"/>
  <c r="J74" i="6"/>
  <c r="M74" i="6"/>
  <c r="J440" i="6"/>
  <c r="I440" i="6"/>
  <c r="M440" i="6"/>
  <c r="M243" i="6"/>
  <c r="J243" i="6"/>
  <c r="I243" i="6"/>
  <c r="J415" i="6"/>
  <c r="I415" i="6"/>
  <c r="M415" i="6"/>
  <c r="I390" i="6"/>
  <c r="J390" i="6"/>
  <c r="M390" i="6"/>
  <c r="J277" i="4"/>
  <c r="K277" i="4"/>
  <c r="J27" i="6"/>
  <c r="I27" i="6"/>
  <c r="M27" i="6"/>
  <c r="J145" i="4"/>
  <c r="K145" i="4"/>
  <c r="J377" i="4"/>
  <c r="K377" i="4"/>
  <c r="J29" i="6"/>
  <c r="I29" i="6"/>
  <c r="M29" i="6"/>
  <c r="J130" i="4"/>
  <c r="K130" i="4"/>
  <c r="J124" i="6"/>
  <c r="I124" i="6"/>
  <c r="M124" i="6"/>
  <c r="J293" i="4"/>
  <c r="K293" i="4"/>
  <c r="J315" i="6"/>
  <c r="I315" i="6"/>
  <c r="M315" i="6"/>
  <c r="J205" i="6"/>
  <c r="M205" i="6"/>
  <c r="I205" i="6"/>
  <c r="J333" i="4"/>
  <c r="K333" i="4"/>
  <c r="J71" i="4"/>
  <c r="K71" i="4"/>
  <c r="I238" i="6"/>
  <c r="J238" i="6"/>
  <c r="M238" i="6"/>
  <c r="K51" i="5"/>
  <c r="J51" i="5"/>
  <c r="K107" i="4"/>
  <c r="J107" i="4"/>
  <c r="J212" i="4"/>
  <c r="K212" i="4"/>
  <c r="J537" i="6"/>
  <c r="I537" i="6"/>
  <c r="M537" i="6"/>
  <c r="J32" i="5"/>
  <c r="K32" i="5"/>
  <c r="K11" i="5"/>
  <c r="J11" i="5"/>
  <c r="K249" i="4"/>
  <c r="J249" i="4"/>
  <c r="K358" i="4"/>
  <c r="J358" i="4"/>
  <c r="K477" i="4"/>
  <c r="J477" i="4"/>
  <c r="J347" i="4"/>
  <c r="K347" i="4"/>
  <c r="K99" i="4"/>
  <c r="J99" i="4"/>
  <c r="J508" i="4"/>
  <c r="K508" i="4"/>
  <c r="K9" i="4"/>
  <c r="J9" i="4"/>
  <c r="K73" i="4"/>
  <c r="J73" i="4"/>
  <c r="K484" i="4"/>
  <c r="J484" i="4"/>
  <c r="K178" i="4"/>
  <c r="J178" i="4"/>
  <c r="J338" i="4"/>
  <c r="K338" i="4"/>
  <c r="J60" i="4"/>
  <c r="K60" i="4"/>
  <c r="J451" i="4"/>
  <c r="K451" i="4"/>
  <c r="J372" i="4"/>
  <c r="K372" i="4"/>
  <c r="J122" i="4"/>
  <c r="K122" i="4"/>
  <c r="J143" i="4"/>
  <c r="K143" i="4"/>
  <c r="K414" i="4"/>
  <c r="J414" i="4"/>
  <c r="K306" i="4"/>
  <c r="J306" i="4"/>
  <c r="J232" i="4"/>
  <c r="K232" i="4"/>
  <c r="K455" i="4"/>
  <c r="J455" i="4"/>
  <c r="J182" i="4"/>
  <c r="K182" i="4"/>
  <c r="J319" i="6"/>
  <c r="I319" i="6"/>
  <c r="M319" i="6"/>
  <c r="I546" i="6"/>
  <c r="J546" i="6"/>
  <c r="M546" i="6"/>
  <c r="I556" i="6"/>
  <c r="J556" i="6"/>
  <c r="M556" i="6"/>
  <c r="I209" i="6"/>
  <c r="J209" i="6"/>
  <c r="M209" i="6"/>
  <c r="J369" i="6"/>
  <c r="I369" i="6"/>
  <c r="M369" i="6"/>
  <c r="I481" i="6"/>
  <c r="J481" i="6"/>
  <c r="M481" i="6"/>
  <c r="I318" i="6"/>
  <c r="J318" i="6"/>
  <c r="M318" i="6"/>
  <c r="I86" i="6"/>
  <c r="M86" i="6"/>
  <c r="J86" i="6"/>
  <c r="J541" i="6"/>
  <c r="I541" i="6"/>
  <c r="M541" i="6"/>
  <c r="J380" i="6"/>
  <c r="I380" i="6"/>
  <c r="M380" i="6"/>
  <c r="J299" i="6"/>
  <c r="I299" i="6"/>
  <c r="M299" i="6"/>
  <c r="J376" i="6"/>
  <c r="I376" i="6"/>
  <c r="M376" i="6"/>
  <c r="J496" i="6"/>
  <c r="I496" i="6"/>
  <c r="M496" i="6"/>
  <c r="J134" i="6"/>
  <c r="I134" i="6"/>
  <c r="M134" i="6"/>
  <c r="M15" i="6"/>
  <c r="J15" i="6"/>
  <c r="I15" i="6"/>
  <c r="M334" i="6"/>
  <c r="J334" i="6"/>
  <c r="I334" i="6"/>
  <c r="I472" i="6"/>
  <c r="M472" i="6"/>
  <c r="J472" i="6"/>
  <c r="J522" i="6"/>
  <c r="I522" i="6"/>
  <c r="M522" i="6"/>
  <c r="I90" i="6"/>
  <c r="J90" i="6"/>
  <c r="M90" i="6"/>
  <c r="I254" i="6"/>
  <c r="J254" i="6"/>
  <c r="M254" i="6"/>
  <c r="J56" i="5"/>
  <c r="K56" i="5"/>
  <c r="J509" i="4"/>
  <c r="K509" i="4"/>
  <c r="J180" i="4"/>
  <c r="K180" i="4"/>
  <c r="J370" i="6"/>
  <c r="I370" i="6"/>
  <c r="M370" i="6"/>
  <c r="I288" i="6"/>
  <c r="M288" i="6"/>
  <c r="J288" i="6"/>
  <c r="K236" i="4"/>
  <c r="J236" i="4"/>
  <c r="J277" i="6"/>
  <c r="I277" i="6"/>
  <c r="M277" i="6"/>
  <c r="K238" i="4"/>
  <c r="J238" i="4"/>
  <c r="J39" i="6"/>
  <c r="I39" i="6"/>
  <c r="M39" i="6"/>
  <c r="J53" i="6"/>
  <c r="M53" i="6"/>
  <c r="I53" i="6"/>
  <c r="J128" i="4"/>
  <c r="K128" i="4"/>
  <c r="J157" i="4"/>
  <c r="K157" i="4"/>
  <c r="I336" i="6"/>
  <c r="J336" i="6"/>
  <c r="M336" i="6"/>
  <c r="K262" i="4"/>
  <c r="J262" i="4"/>
  <c r="K254" i="4"/>
  <c r="J254" i="4"/>
  <c r="J538" i="4"/>
  <c r="K538" i="4"/>
  <c r="J457" i="6"/>
  <c r="M457" i="6"/>
  <c r="I457" i="6"/>
  <c r="J48" i="5"/>
  <c r="K48" i="5"/>
  <c r="J348" i="4"/>
  <c r="K348" i="4"/>
  <c r="K546" i="4"/>
  <c r="J546" i="4"/>
  <c r="J36" i="4"/>
  <c r="K36" i="4"/>
  <c r="M237" i="6"/>
  <c r="I237" i="6"/>
  <c r="J237" i="6"/>
  <c r="I12" i="6"/>
  <c r="J12" i="6"/>
  <c r="M12" i="6"/>
  <c r="J47" i="5"/>
  <c r="K47" i="5"/>
  <c r="K161" i="4"/>
  <c r="J161" i="4"/>
  <c r="K410" i="4"/>
  <c r="J410" i="4"/>
  <c r="J229" i="4"/>
  <c r="K229" i="4"/>
  <c r="K364" i="4"/>
  <c r="J364" i="4"/>
  <c r="J64" i="4"/>
  <c r="K64" i="4"/>
  <c r="J100" i="4"/>
  <c r="K100" i="4"/>
  <c r="K106" i="4"/>
  <c r="J106" i="4"/>
  <c r="J193" i="4"/>
  <c r="K193" i="4"/>
  <c r="J303" i="4"/>
  <c r="K303" i="4"/>
  <c r="J417" i="4"/>
  <c r="K417" i="4"/>
  <c r="K356" i="4"/>
  <c r="J356" i="4"/>
  <c r="K146" i="4"/>
  <c r="J146" i="4"/>
  <c r="K332" i="4"/>
  <c r="J332" i="4"/>
  <c r="K340" i="4"/>
  <c r="J340" i="4"/>
  <c r="J135" i="4"/>
  <c r="K135" i="4"/>
  <c r="K263" i="4"/>
  <c r="J239" i="4"/>
  <c r="K239" i="4"/>
  <c r="J191" i="4"/>
  <c r="K191" i="4"/>
  <c r="J15" i="4"/>
  <c r="K15" i="4"/>
  <c r="K44" i="4"/>
  <c r="J44" i="4"/>
  <c r="J165" i="4"/>
  <c r="K165" i="4"/>
  <c r="J171" i="4"/>
  <c r="K171" i="4"/>
  <c r="J175" i="6"/>
  <c r="I175" i="6"/>
  <c r="M175" i="6"/>
  <c r="I430" i="6"/>
  <c r="J430" i="6"/>
  <c r="M430" i="6"/>
  <c r="J226" i="6"/>
  <c r="I226" i="6"/>
  <c r="M226" i="6"/>
  <c r="I35" i="6"/>
  <c r="J35" i="6"/>
  <c r="M35" i="6"/>
  <c r="J151" i="6"/>
  <c r="M151" i="6"/>
  <c r="I151" i="6"/>
  <c r="M109" i="6"/>
  <c r="J109" i="6"/>
  <c r="I109" i="6"/>
  <c r="J406" i="6"/>
  <c r="I406" i="6"/>
  <c r="M406" i="6"/>
  <c r="J56" i="6"/>
  <c r="I56" i="6"/>
  <c r="M56" i="6"/>
  <c r="J91" i="6"/>
  <c r="I91" i="6"/>
  <c r="M91" i="6"/>
  <c r="J78" i="6"/>
  <c r="I78" i="6"/>
  <c r="M78" i="6"/>
  <c r="M422" i="6"/>
  <c r="J422" i="6"/>
  <c r="I422" i="6"/>
  <c r="I410" i="6"/>
  <c r="J410" i="6"/>
  <c r="M410" i="6"/>
  <c r="J338" i="6"/>
  <c r="I338" i="6"/>
  <c r="M338" i="6"/>
  <c r="I221" i="6"/>
  <c r="M221" i="6"/>
  <c r="J221" i="6"/>
  <c r="J195" i="6"/>
  <c r="I195" i="6"/>
  <c r="M195" i="6"/>
  <c r="J389" i="6"/>
  <c r="I389" i="6"/>
  <c r="M389" i="6"/>
  <c r="J81" i="6"/>
  <c r="I81" i="6"/>
  <c r="M81" i="6"/>
  <c r="J22" i="6"/>
  <c r="I22" i="6"/>
  <c r="M22" i="6"/>
  <c r="M284" i="6"/>
  <c r="J284" i="6"/>
  <c r="I284" i="6"/>
  <c r="J500" i="6"/>
  <c r="I500" i="6"/>
  <c r="M500" i="6"/>
  <c r="J378" i="6"/>
  <c r="I378" i="6"/>
  <c r="M378" i="6"/>
  <c r="I244" i="6"/>
  <c r="M244" i="6"/>
  <c r="J244" i="6"/>
  <c r="J37" i="5"/>
  <c r="K37" i="5"/>
  <c r="K412" i="4"/>
  <c r="J412" i="4"/>
  <c r="K69" i="4"/>
  <c r="J69" i="4"/>
  <c r="I270" i="6"/>
  <c r="J270" i="6"/>
  <c r="M270" i="6"/>
  <c r="J52" i="4"/>
  <c r="K52" i="4"/>
  <c r="J162" i="6"/>
  <c r="I162" i="6"/>
  <c r="M162" i="6"/>
  <c r="J66" i="5"/>
  <c r="K66" i="5"/>
  <c r="K202" i="4"/>
  <c r="J202" i="4"/>
  <c r="J290" i="4"/>
  <c r="K290" i="4"/>
  <c r="J473" i="6"/>
  <c r="M473" i="6"/>
  <c r="I473" i="6"/>
  <c r="I367" i="6"/>
  <c r="J367" i="6"/>
  <c r="M367" i="6"/>
  <c r="J537" i="4"/>
  <c r="K537" i="4"/>
  <c r="K56" i="4"/>
  <c r="J56" i="4"/>
  <c r="J442" i="6"/>
  <c r="I442" i="6"/>
  <c r="M442" i="6"/>
  <c r="J10" i="5"/>
  <c r="K10" i="5"/>
  <c r="J189" i="4"/>
  <c r="K189" i="4"/>
  <c r="K555" i="4"/>
  <c r="J555" i="4"/>
  <c r="K70" i="4"/>
  <c r="J70" i="4"/>
  <c r="K164" i="4"/>
  <c r="J164" i="4"/>
  <c r="K404" i="4"/>
  <c r="J404" i="4"/>
  <c r="M229" i="6"/>
  <c r="J488" i="4"/>
  <c r="K488" i="4"/>
  <c r="I302" i="6"/>
  <c r="J302" i="6"/>
  <c r="M302" i="6"/>
  <c r="K203" i="4"/>
  <c r="J203" i="4"/>
  <c r="K102" i="4"/>
  <c r="J102" i="4"/>
  <c r="J115" i="4"/>
  <c r="K115" i="4"/>
  <c r="J157" i="6"/>
  <c r="I157" i="6"/>
  <c r="M157" i="6"/>
  <c r="J72" i="5"/>
  <c r="K72" i="5"/>
  <c r="K24" i="5"/>
  <c r="J24" i="5"/>
  <c r="K67" i="5"/>
  <c r="J67" i="5"/>
  <c r="J337" i="4"/>
  <c r="K337" i="4"/>
  <c r="K274" i="4"/>
  <c r="J274" i="4"/>
  <c r="K126" i="4"/>
  <c r="J126" i="4"/>
  <c r="K465" i="4"/>
  <c r="J465" i="4"/>
  <c r="J127" i="4"/>
  <c r="K127" i="4"/>
  <c r="J225" i="4"/>
  <c r="K225" i="4"/>
  <c r="J495" i="4"/>
  <c r="K495" i="4"/>
  <c r="J57" i="4"/>
  <c r="K57" i="4"/>
  <c r="J139" i="4"/>
  <c r="K139" i="4"/>
  <c r="J175" i="4"/>
  <c r="K175" i="4"/>
  <c r="K204" i="4"/>
  <c r="J204" i="4"/>
  <c r="J255" i="4"/>
  <c r="K255" i="4"/>
  <c r="J92" i="4"/>
  <c r="K92" i="4"/>
  <c r="J21" i="4"/>
  <c r="K21" i="4"/>
  <c r="J169" i="4"/>
  <c r="K169" i="4"/>
  <c r="J244" i="4"/>
  <c r="K244" i="4"/>
  <c r="J322" i="4"/>
  <c r="K322" i="4"/>
  <c r="J235" i="4"/>
  <c r="K235" i="4"/>
  <c r="J467" i="4"/>
  <c r="K467" i="4"/>
  <c r="K418" i="4"/>
  <c r="J418" i="4"/>
  <c r="J214" i="4"/>
  <c r="K214" i="4"/>
  <c r="J412" i="6"/>
  <c r="I412" i="6"/>
  <c r="M412" i="6"/>
  <c r="I347" i="6"/>
  <c r="J347" i="6"/>
  <c r="M347" i="6"/>
  <c r="I112" i="6"/>
  <c r="J112" i="6"/>
  <c r="M112" i="6"/>
  <c r="J285" i="6"/>
  <c r="I285" i="6"/>
  <c r="M285" i="6"/>
  <c r="J264" i="6"/>
  <c r="I264" i="6"/>
  <c r="M264" i="6"/>
  <c r="I461" i="6"/>
  <c r="M461" i="6"/>
  <c r="J461" i="6"/>
  <c r="J434" i="6"/>
  <c r="I434" i="6"/>
  <c r="M434" i="6"/>
  <c r="J377" i="6"/>
  <c r="I377" i="6"/>
  <c r="M377" i="6"/>
  <c r="I491" i="6"/>
  <c r="J491" i="6"/>
  <c r="M491" i="6"/>
  <c r="J307" i="6"/>
  <c r="I307" i="6"/>
  <c r="M307" i="6"/>
  <c r="I163" i="6"/>
  <c r="J163" i="6"/>
  <c r="M163" i="6"/>
  <c r="I125" i="6"/>
  <c r="M125" i="6"/>
  <c r="J125" i="6"/>
  <c r="J51" i="6"/>
  <c r="I51" i="6"/>
  <c r="M51" i="6"/>
  <c r="M358" i="6"/>
  <c r="I358" i="6"/>
  <c r="J358" i="6"/>
  <c r="I416" i="6"/>
  <c r="M416" i="6"/>
  <c r="J416" i="6"/>
  <c r="J310" i="6"/>
  <c r="I310" i="6"/>
  <c r="M310" i="6"/>
  <c r="J272" i="6"/>
  <c r="I272" i="6"/>
  <c r="M272" i="6"/>
  <c r="M490" i="6"/>
  <c r="J490" i="6"/>
  <c r="I490" i="6"/>
  <c r="J550" i="6"/>
  <c r="I550" i="6"/>
  <c r="M550" i="6"/>
  <c r="M487" i="6"/>
  <c r="J487" i="6"/>
  <c r="I487" i="6"/>
  <c r="I521" i="6"/>
  <c r="J521" i="6"/>
  <c r="M521" i="6"/>
  <c r="K11" i="4"/>
  <c r="J11" i="4"/>
  <c r="J115" i="6"/>
  <c r="I115" i="6"/>
  <c r="M115" i="6"/>
  <c r="J474" i="6"/>
  <c r="I474" i="6"/>
  <c r="M474" i="6"/>
  <c r="J20" i="5"/>
  <c r="K20" i="5"/>
  <c r="J549" i="4"/>
  <c r="K549" i="4"/>
  <c r="J543" i="4"/>
  <c r="K543" i="4"/>
  <c r="J424" i="6"/>
  <c r="I424" i="6"/>
  <c r="M424" i="6"/>
  <c r="J66" i="4"/>
  <c r="K66" i="4"/>
  <c r="K496" i="4"/>
  <c r="J496" i="4"/>
  <c r="J204" i="6"/>
  <c r="I204" i="6"/>
  <c r="M204" i="6"/>
  <c r="K33" i="4"/>
  <c r="J33" i="4"/>
  <c r="J378" i="4"/>
  <c r="K378" i="4"/>
  <c r="J380" i="4"/>
  <c r="K380" i="4"/>
  <c r="K208" i="4"/>
  <c r="J208" i="4"/>
  <c r="J453" i="6"/>
  <c r="I453" i="6"/>
  <c r="M453" i="6"/>
  <c r="J34" i="6"/>
  <c r="I34" i="6"/>
  <c r="M34" i="6"/>
  <c r="K437" i="4"/>
  <c r="J437" i="4"/>
  <c r="K31" i="4"/>
  <c r="J31" i="4"/>
  <c r="J499" i="6"/>
  <c r="I499" i="6"/>
  <c r="M499" i="6"/>
  <c r="J57" i="5"/>
  <c r="K57" i="5"/>
  <c r="J476" i="4"/>
  <c r="K476" i="4"/>
  <c r="K548" i="4"/>
  <c r="J548" i="4"/>
  <c r="M37" i="6"/>
  <c r="J37" i="6"/>
  <c r="I37" i="6"/>
  <c r="J22" i="5"/>
  <c r="K22" i="5"/>
  <c r="K44" i="5"/>
  <c r="J44" i="5"/>
  <c r="J36" i="5"/>
  <c r="K36" i="5"/>
  <c r="K35" i="5"/>
  <c r="J35" i="5"/>
  <c r="J62" i="5"/>
  <c r="K62" i="5"/>
  <c r="J504" i="4"/>
  <c r="K504" i="4"/>
  <c r="K421" i="4"/>
  <c r="J421" i="4"/>
  <c r="J296" i="4"/>
  <c r="K296" i="4"/>
  <c r="K402" i="4"/>
  <c r="J402" i="4"/>
  <c r="K554" i="4"/>
  <c r="J554" i="4"/>
  <c r="J198" i="4"/>
  <c r="K198" i="4"/>
  <c r="K150" i="4"/>
  <c r="J150" i="4"/>
  <c r="K311" i="4"/>
  <c r="J311" i="4"/>
  <c r="J403" i="4"/>
  <c r="K403" i="4"/>
  <c r="J506" i="4"/>
  <c r="K506" i="4"/>
  <c r="K408" i="4"/>
  <c r="J408" i="4"/>
  <c r="K58" i="4"/>
  <c r="J58" i="4"/>
  <c r="K396" i="4"/>
  <c r="J396" i="4"/>
  <c r="K406" i="4"/>
  <c r="J406" i="4"/>
  <c r="J142" i="4"/>
  <c r="K142" i="4"/>
  <c r="K458" i="4"/>
  <c r="J458" i="4"/>
  <c r="K184" i="4"/>
  <c r="J184" i="4"/>
  <c r="K523" i="4"/>
  <c r="J156" i="4"/>
  <c r="K156" i="4"/>
  <c r="J270" i="4"/>
  <c r="K270" i="4"/>
  <c r="K110" i="4"/>
  <c r="J110" i="4"/>
  <c r="J119" i="4"/>
  <c r="K119" i="4"/>
  <c r="I321" i="6"/>
  <c r="M321" i="6"/>
  <c r="J321" i="6"/>
  <c r="J258" i="6"/>
  <c r="I258" i="6"/>
  <c r="M258" i="6"/>
  <c r="J168" i="6"/>
  <c r="I168" i="6"/>
  <c r="M168" i="6"/>
  <c r="J212" i="6"/>
  <c r="I212" i="6"/>
  <c r="M212" i="6"/>
  <c r="J276" i="6"/>
  <c r="I276" i="6"/>
  <c r="M276" i="6"/>
  <c r="I433" i="6"/>
  <c r="J433" i="6"/>
  <c r="M433" i="6"/>
  <c r="J108" i="6"/>
  <c r="I108" i="6"/>
  <c r="M108" i="6"/>
  <c r="J62" i="6"/>
  <c r="I62" i="6"/>
  <c r="M62" i="6"/>
  <c r="I343" i="6"/>
  <c r="J100" i="6"/>
  <c r="I100" i="6"/>
  <c r="M100" i="6"/>
  <c r="M545" i="6"/>
  <c r="J545" i="6"/>
  <c r="I545" i="6"/>
  <c r="I136" i="6"/>
  <c r="M136" i="6"/>
  <c r="J136" i="6"/>
  <c r="J306" i="6"/>
  <c r="I306" i="6"/>
  <c r="M306" i="6"/>
  <c r="I172" i="6"/>
  <c r="M172" i="6"/>
  <c r="J172" i="6"/>
  <c r="J159" i="6"/>
  <c r="I159" i="6"/>
  <c r="M159" i="6"/>
  <c r="M224" i="6"/>
  <c r="J224" i="6"/>
  <c r="I224" i="6"/>
  <c r="I47" i="6"/>
  <c r="J47" i="6"/>
  <c r="M47" i="6"/>
  <c r="J329" i="6"/>
  <c r="I329" i="6"/>
  <c r="M329" i="6"/>
  <c r="I478" i="6"/>
  <c r="J478" i="6"/>
  <c r="M478" i="6"/>
  <c r="I79" i="6"/>
  <c r="J79" i="6"/>
  <c r="M79" i="6"/>
  <c r="I85" i="6"/>
  <c r="J85" i="6"/>
  <c r="M85" i="6"/>
  <c r="M70" i="6"/>
  <c r="I70" i="6"/>
  <c r="J70" i="6"/>
  <c r="I145" i="6"/>
  <c r="M145" i="6"/>
  <c r="J145" i="6"/>
  <c r="K287" i="4"/>
  <c r="J287" i="4"/>
  <c r="J147" i="6"/>
  <c r="M147" i="6"/>
  <c r="I147" i="6"/>
  <c r="M82" i="6"/>
  <c r="J82" i="6"/>
  <c r="I82" i="6"/>
  <c r="J368" i="4"/>
  <c r="K368" i="4"/>
  <c r="K297" i="4"/>
  <c r="J297" i="4"/>
  <c r="M538" i="6"/>
  <c r="J538" i="6"/>
  <c r="I538" i="6"/>
  <c r="I218" i="6"/>
  <c r="J218" i="6"/>
  <c r="M218" i="6"/>
  <c r="J25" i="5"/>
  <c r="K25" i="5"/>
  <c r="J91" i="4"/>
  <c r="K91" i="4"/>
  <c r="I73" i="6"/>
  <c r="M73" i="6"/>
  <c r="J73" i="6"/>
  <c r="J75" i="4"/>
  <c r="K75" i="4"/>
  <c r="K95" i="4"/>
  <c r="J95" i="4"/>
  <c r="J459" i="4"/>
  <c r="K459" i="4"/>
  <c r="J468" i="6"/>
  <c r="I468" i="6"/>
  <c r="M468" i="6"/>
  <c r="I549" i="6"/>
  <c r="J549" i="6"/>
  <c r="M549" i="6"/>
  <c r="I126" i="6"/>
  <c r="M126" i="6"/>
  <c r="J126" i="6"/>
  <c r="J39" i="5"/>
  <c r="K39" i="5"/>
  <c r="K289" i="4"/>
  <c r="J289" i="4"/>
  <c r="J295" i="4"/>
  <c r="K295" i="4"/>
  <c r="K196" i="4"/>
  <c r="J196" i="4"/>
  <c r="K519" i="4"/>
  <c r="J519" i="4"/>
  <c r="J400" i="4"/>
  <c r="K400" i="4"/>
  <c r="K234" i="4"/>
  <c r="J234" i="4"/>
  <c r="J325" i="6"/>
  <c r="I325" i="6"/>
  <c r="M325" i="6"/>
  <c r="J192" i="6"/>
  <c r="I192" i="6"/>
  <c r="M192" i="6"/>
  <c r="I436" i="6"/>
  <c r="M436" i="6"/>
  <c r="J436" i="6"/>
  <c r="K45" i="5"/>
  <c r="J45" i="5"/>
  <c r="J218" i="4"/>
  <c r="K218" i="4"/>
  <c r="J74" i="4"/>
  <c r="K74" i="4"/>
  <c r="K483" i="4"/>
  <c r="J483" i="4"/>
  <c r="K460" i="4"/>
  <c r="J460" i="4"/>
  <c r="J189" i="6"/>
  <c r="I189" i="6"/>
  <c r="M189" i="6"/>
  <c r="K9" i="5"/>
  <c r="J9" i="5"/>
  <c r="J138" i="4"/>
  <c r="K138" i="4"/>
  <c r="K514" i="4"/>
  <c r="K436" i="4"/>
  <c r="J436" i="4"/>
  <c r="J401" i="6"/>
  <c r="I401" i="6"/>
  <c r="M401" i="6"/>
  <c r="J17" i="5"/>
  <c r="K17" i="5"/>
  <c r="J305" i="4"/>
  <c r="K305" i="4"/>
  <c r="J260" i="4"/>
  <c r="K260" i="4"/>
  <c r="J217" i="6"/>
  <c r="I217" i="6"/>
  <c r="M217" i="6"/>
  <c r="J31" i="5"/>
  <c r="K31" i="5"/>
  <c r="J52" i="5"/>
  <c r="K52" i="5"/>
  <c r="J40" i="5"/>
  <c r="K40" i="5"/>
  <c r="K63" i="4"/>
  <c r="J63" i="4"/>
  <c r="J355" i="4"/>
  <c r="K355" i="4"/>
  <c r="K365" i="4"/>
  <c r="J365" i="4"/>
  <c r="K233" i="4"/>
  <c r="J233" i="4"/>
  <c r="J475" i="4"/>
  <c r="K475" i="4"/>
  <c r="J299" i="4"/>
  <c r="K299" i="4"/>
  <c r="K524" i="4"/>
  <c r="J524" i="4"/>
  <c r="J497" i="4"/>
  <c r="K497" i="4"/>
  <c r="K207" i="4"/>
  <c r="J207" i="4"/>
  <c r="J395" i="4"/>
  <c r="K395" i="4"/>
  <c r="K280" i="4"/>
  <c r="J280" i="4"/>
  <c r="J517" i="4"/>
  <c r="K517" i="4"/>
  <c r="K501" i="4"/>
  <c r="J501" i="4"/>
  <c r="K550" i="4"/>
  <c r="J550" i="4"/>
  <c r="J520" i="4"/>
  <c r="K520" i="4"/>
  <c r="J96" i="4"/>
  <c r="K96" i="4"/>
  <c r="J539" i="4"/>
  <c r="K539" i="4"/>
  <c r="K49" i="4"/>
  <c r="J49" i="4"/>
  <c r="J542" i="4"/>
  <c r="K542" i="4"/>
  <c r="J510" i="4"/>
  <c r="K510" i="4"/>
  <c r="J78" i="4"/>
  <c r="K78" i="4"/>
  <c r="I67" i="6"/>
  <c r="J67" i="6"/>
  <c r="M67" i="6"/>
  <c r="I248" i="6"/>
  <c r="J248" i="6"/>
  <c r="M248" i="6"/>
  <c r="J202" i="6"/>
  <c r="I202" i="6"/>
  <c r="M202" i="6"/>
  <c r="J344" i="6"/>
  <c r="M344" i="6"/>
  <c r="I344" i="6"/>
  <c r="J301" i="6"/>
  <c r="I301" i="6"/>
  <c r="M301" i="6"/>
  <c r="I135" i="6"/>
  <c r="J135" i="6"/>
  <c r="M135" i="6"/>
  <c r="I262" i="6"/>
  <c r="J262" i="6"/>
  <c r="M262" i="6"/>
  <c r="J138" i="6"/>
  <c r="I138" i="6"/>
  <c r="M138" i="6"/>
  <c r="M61" i="6"/>
  <c r="J61" i="6"/>
  <c r="I61" i="6"/>
  <c r="I408" i="6"/>
  <c r="M408" i="6"/>
  <c r="J408" i="6"/>
  <c r="J552" i="6"/>
  <c r="I552" i="6"/>
  <c r="M552" i="6"/>
  <c r="I539" i="6"/>
  <c r="J539" i="6"/>
  <c r="M539" i="6"/>
  <c r="I68" i="6"/>
  <c r="J68" i="6"/>
  <c r="M68" i="6"/>
  <c r="J348" i="6"/>
  <c r="I348" i="6"/>
  <c r="M348" i="6"/>
  <c r="J171" i="6"/>
  <c r="I171" i="6"/>
  <c r="M171" i="6"/>
  <c r="J36" i="6"/>
  <c r="I36" i="6"/>
  <c r="M36" i="6"/>
  <c r="J227" i="6"/>
  <c r="I227" i="6"/>
  <c r="M227" i="6"/>
  <c r="J117" i="6"/>
  <c r="I117" i="6"/>
  <c r="M117" i="6"/>
  <c r="J76" i="6"/>
  <c r="I76" i="6"/>
  <c r="M76" i="6"/>
  <c r="J357" i="6"/>
  <c r="I357" i="6"/>
  <c r="M357" i="6"/>
  <c r="J302" i="4"/>
  <c r="K302" i="4"/>
  <c r="J376" i="4"/>
  <c r="K376" i="4"/>
  <c r="J423" i="6"/>
  <c r="I423" i="6"/>
  <c r="M423" i="6"/>
  <c r="K328" i="4"/>
  <c r="J328" i="4"/>
  <c r="K97" i="4"/>
  <c r="J97" i="4"/>
  <c r="I454" i="6"/>
  <c r="J454" i="6"/>
  <c r="M454" i="6"/>
  <c r="J40" i="4"/>
  <c r="K40" i="4"/>
  <c r="J307" i="4"/>
  <c r="K307" i="4"/>
  <c r="I282" i="6"/>
  <c r="J282" i="6"/>
  <c r="M282" i="6"/>
  <c r="J394" i="6"/>
  <c r="I394" i="6"/>
  <c r="M394" i="6"/>
  <c r="K230" i="4"/>
  <c r="J230" i="4"/>
  <c r="J493" i="4"/>
  <c r="K493" i="4"/>
  <c r="J486" i="6"/>
  <c r="I486" i="6"/>
  <c r="M486" i="6"/>
  <c r="M278" i="6"/>
  <c r="K51" i="4"/>
  <c r="J51" i="4"/>
  <c r="I89" i="6"/>
  <c r="J89" i="6"/>
  <c r="M89" i="6"/>
  <c r="K381" i="4"/>
  <c r="J381" i="4"/>
  <c r="J366" i="4"/>
  <c r="K366" i="4"/>
  <c r="J216" i="4"/>
  <c r="K216" i="4"/>
  <c r="M191" i="6"/>
  <c r="J191" i="6"/>
  <c r="I191" i="6"/>
  <c r="K48" i="4"/>
  <c r="J48" i="4"/>
  <c r="J129" i="4"/>
  <c r="K129" i="4"/>
  <c r="J279" i="4"/>
  <c r="K279" i="4"/>
  <c r="I463" i="6"/>
  <c r="J463" i="6"/>
  <c r="M463" i="6"/>
  <c r="J33" i="5"/>
  <c r="K33" i="5"/>
  <c r="J77" i="5"/>
  <c r="K77" i="5"/>
  <c r="K63" i="5"/>
  <c r="J63" i="5"/>
  <c r="J470" i="4"/>
  <c r="K470" i="4"/>
  <c r="K469" i="4"/>
  <c r="J469" i="4"/>
  <c r="K267" i="4"/>
  <c r="J267" i="4"/>
  <c r="K415" i="4"/>
  <c r="J415" i="4"/>
  <c r="K112" i="4"/>
  <c r="J112" i="4"/>
  <c r="J186" i="4"/>
  <c r="K186" i="4"/>
  <c r="K140" i="4"/>
  <c r="J140" i="4"/>
  <c r="J118" i="4"/>
  <c r="K118" i="4"/>
  <c r="J498" i="4"/>
  <c r="K498" i="4"/>
  <c r="J367" i="4"/>
  <c r="K367" i="4"/>
  <c r="K392" i="4"/>
  <c r="J392" i="4"/>
  <c r="J268" i="4"/>
  <c r="K268" i="4"/>
  <c r="J389" i="4"/>
  <c r="K389" i="4"/>
  <c r="K486" i="4"/>
  <c r="J486" i="4"/>
  <c r="J17" i="4"/>
  <c r="K17" i="4"/>
  <c r="J220" i="4"/>
  <c r="K220" i="4"/>
  <c r="K540" i="4"/>
  <c r="J540" i="4"/>
  <c r="J253" i="4"/>
  <c r="K253" i="4"/>
  <c r="J487" i="4"/>
  <c r="K487" i="4"/>
  <c r="J294" i="4"/>
  <c r="K294" i="4"/>
  <c r="J339" i="4"/>
  <c r="K339" i="4"/>
  <c r="J179" i="6"/>
  <c r="I179" i="6"/>
  <c r="M179" i="6"/>
  <c r="J123" i="6"/>
  <c r="I123" i="6"/>
  <c r="M123" i="6"/>
  <c r="I517" i="6"/>
  <c r="M517" i="6"/>
  <c r="J517" i="6"/>
  <c r="I465" i="6"/>
  <c r="M465" i="6"/>
  <c r="J465" i="6"/>
  <c r="I530" i="6"/>
  <c r="J530" i="6"/>
  <c r="M530" i="6"/>
  <c r="I92" i="6"/>
  <c r="J92" i="6"/>
  <c r="M92" i="6"/>
  <c r="M10" i="6"/>
  <c r="J10" i="6"/>
  <c r="I10" i="6"/>
  <c r="J142" i="6"/>
  <c r="I142" i="6"/>
  <c r="M142" i="6"/>
  <c r="I231" i="6"/>
  <c r="J231" i="6"/>
  <c r="M231" i="6"/>
  <c r="J443" i="6"/>
  <c r="M443" i="6"/>
  <c r="I443" i="6"/>
  <c r="I525" i="6"/>
  <c r="J525" i="6"/>
  <c r="M525" i="6"/>
  <c r="J94" i="6"/>
  <c r="I94" i="6"/>
  <c r="M94" i="6"/>
  <c r="J352" i="6"/>
  <c r="I352" i="6"/>
  <c r="M352" i="6"/>
  <c r="J300" i="6"/>
  <c r="I300" i="6"/>
  <c r="M300" i="6"/>
  <c r="J140" i="6"/>
  <c r="M140" i="6"/>
  <c r="I140" i="6"/>
  <c r="I326" i="6"/>
  <c r="J326" i="6"/>
  <c r="M326" i="6"/>
  <c r="I289" i="6"/>
  <c r="M289" i="6"/>
  <c r="J289" i="6"/>
  <c r="J275" i="6"/>
  <c r="I275" i="6"/>
  <c r="M275" i="6"/>
  <c r="J281" i="6"/>
  <c r="I281" i="6"/>
  <c r="M281" i="6"/>
  <c r="J531" i="6"/>
  <c r="I531" i="6"/>
  <c r="M531" i="6"/>
  <c r="J331" i="6"/>
  <c r="I331" i="6"/>
  <c r="M331" i="6"/>
  <c r="J258" i="4"/>
  <c r="K258" i="4"/>
  <c r="K529" i="4"/>
  <c r="J529" i="4"/>
  <c r="M528" i="6"/>
  <c r="J528" i="6"/>
  <c r="I528" i="6"/>
  <c r="J61" i="5"/>
  <c r="K61" i="5"/>
  <c r="K209" i="4"/>
  <c r="J209" i="4"/>
  <c r="J271" i="6"/>
  <c r="I271" i="6"/>
  <c r="M271" i="6"/>
  <c r="J264" i="4"/>
  <c r="K264" i="4"/>
  <c r="J53" i="4"/>
  <c r="K53" i="4"/>
  <c r="I287" i="6"/>
  <c r="J287" i="6"/>
  <c r="M287" i="6"/>
  <c r="J88" i="6"/>
  <c r="I88" i="6"/>
  <c r="M88" i="6"/>
  <c r="K73" i="5"/>
  <c r="J73" i="5"/>
  <c r="K346" i="4"/>
  <c r="J346" i="4"/>
  <c r="J81" i="4"/>
  <c r="K81" i="4"/>
  <c r="K317" i="4"/>
  <c r="J317" i="4"/>
  <c r="I524" i="6"/>
  <c r="M524" i="6"/>
  <c r="J524" i="6"/>
  <c r="J285" i="4"/>
  <c r="K285" i="4"/>
  <c r="J382" i="4"/>
  <c r="K382" i="4"/>
  <c r="J407" i="4"/>
  <c r="K407" i="4"/>
  <c r="K379" i="4"/>
  <c r="J379" i="4"/>
  <c r="J149" i="4"/>
  <c r="K149" i="4"/>
  <c r="K505" i="4"/>
  <c r="J505" i="4"/>
  <c r="I383" i="6"/>
  <c r="J383" i="6"/>
  <c r="M383" i="6"/>
  <c r="J34" i="5"/>
  <c r="K34" i="5"/>
  <c r="J46" i="5"/>
  <c r="K46" i="5"/>
  <c r="J55" i="5"/>
  <c r="K55" i="5"/>
  <c r="K499" i="4"/>
  <c r="J499" i="4"/>
  <c r="K101" i="4"/>
  <c r="J101" i="4"/>
  <c r="J457" i="4"/>
  <c r="K457" i="4"/>
  <c r="K435" i="4"/>
  <c r="J435" i="4"/>
  <c r="J170" i="4"/>
  <c r="K170" i="4"/>
  <c r="J326" i="4"/>
  <c r="K326" i="4"/>
  <c r="K77" i="4"/>
  <c r="J77" i="4"/>
  <c r="J172" i="4"/>
  <c r="K172" i="4"/>
  <c r="K242" i="4"/>
  <c r="J242" i="4"/>
  <c r="J547" i="4"/>
  <c r="K547" i="4"/>
  <c r="J197" i="4"/>
  <c r="K197" i="4"/>
  <c r="K362" i="4"/>
  <c r="J362" i="4"/>
  <c r="K132" i="4"/>
  <c r="J132" i="4"/>
  <c r="J373" i="4"/>
  <c r="K373" i="4"/>
  <c r="K7" i="4"/>
  <c r="J7" i="4"/>
  <c r="K443" i="4"/>
  <c r="J443" i="4"/>
  <c r="K14" i="4"/>
  <c r="J14" i="4"/>
  <c r="K13" i="4"/>
  <c r="J13" i="4"/>
  <c r="K154" i="4"/>
  <c r="J154" i="4"/>
  <c r="J478" i="4"/>
  <c r="K478" i="4"/>
  <c r="J391" i="6"/>
  <c r="I391" i="6"/>
  <c r="M391" i="6"/>
  <c r="I144" i="6"/>
  <c r="J144" i="6"/>
  <c r="M144" i="6"/>
  <c r="J93" i="6"/>
  <c r="I93" i="6"/>
  <c r="M93" i="6"/>
  <c r="M105" i="6"/>
  <c r="J105" i="6"/>
  <c r="I105" i="6"/>
  <c r="I333" i="6"/>
  <c r="M333" i="6"/>
  <c r="J333" i="6"/>
  <c r="M437" i="6"/>
  <c r="J437" i="6"/>
  <c r="I437" i="6"/>
  <c r="J19" i="6"/>
  <c r="I19" i="6"/>
  <c r="M19" i="6"/>
  <c r="I80" i="6"/>
  <c r="J80" i="6"/>
  <c r="M80" i="6"/>
  <c r="I523" i="6"/>
  <c r="J523" i="6"/>
  <c r="M523" i="6"/>
  <c r="I511" i="6"/>
  <c r="J511" i="6"/>
  <c r="M511" i="6"/>
  <c r="I340" i="6"/>
  <c r="M340" i="6"/>
  <c r="J154" i="6"/>
  <c r="I154" i="6"/>
  <c r="M154" i="6"/>
  <c r="I456" i="6"/>
  <c r="J456" i="6"/>
  <c r="M456" i="6"/>
  <c r="I544" i="6"/>
  <c r="M544" i="6"/>
  <c r="J544" i="6"/>
  <c r="J75" i="6"/>
  <c r="I75" i="6"/>
  <c r="M75" i="6"/>
  <c r="J355" i="6"/>
  <c r="I355" i="6"/>
  <c r="M355" i="6"/>
  <c r="J133" i="6"/>
  <c r="I133" i="6"/>
  <c r="M133" i="6"/>
  <c r="J69" i="6"/>
  <c r="I69" i="6"/>
  <c r="M69" i="6"/>
  <c r="I533" i="6"/>
  <c r="J533" i="6"/>
  <c r="M533" i="6"/>
  <c r="J215" i="6"/>
  <c r="I215" i="6"/>
  <c r="M215" i="6"/>
  <c r="J223" i="6"/>
  <c r="I223" i="6"/>
  <c r="M223" i="6"/>
  <c r="I411" i="6"/>
  <c r="J411" i="6"/>
  <c r="M411" i="6"/>
  <c r="K211" i="4"/>
  <c r="J211" i="4"/>
  <c r="J421" i="6"/>
  <c r="I421" i="6"/>
  <c r="M421" i="6"/>
  <c r="I290" i="6"/>
  <c r="M290" i="6"/>
  <c r="J290" i="6"/>
  <c r="K8" i="5"/>
  <c r="J8" i="5"/>
  <c r="J401" i="4"/>
  <c r="K401" i="4"/>
  <c r="I342" i="6"/>
  <c r="J342" i="6"/>
  <c r="M342" i="6"/>
  <c r="I470" i="6"/>
  <c r="M470" i="6"/>
  <c r="J470" i="6"/>
  <c r="K41" i="4"/>
  <c r="J41" i="4"/>
  <c r="J186" i="6"/>
  <c r="I186" i="6"/>
  <c r="M186" i="6"/>
  <c r="J342" i="4"/>
  <c r="K342" i="4"/>
  <c r="K431" i="4"/>
  <c r="J431" i="4"/>
  <c r="K335" i="4"/>
  <c r="J335" i="4"/>
  <c r="J288" i="4"/>
  <c r="K288" i="4"/>
  <c r="J379" i="6"/>
  <c r="I379" i="6"/>
  <c r="M379" i="6"/>
  <c r="J247" i="4"/>
  <c r="K247" i="4"/>
  <c r="K39" i="4"/>
  <c r="J39" i="4"/>
  <c r="J116" i="6"/>
  <c r="I116" i="6"/>
  <c r="M116" i="6"/>
  <c r="J26" i="5"/>
  <c r="K26" i="5"/>
  <c r="J336" i="4"/>
  <c r="K336" i="4"/>
  <c r="K38" i="4"/>
  <c r="J38" i="4"/>
  <c r="M21" i="6"/>
  <c r="I21" i="6"/>
  <c r="J21" i="6"/>
  <c r="K223" i="4"/>
  <c r="J223" i="4"/>
  <c r="K88" i="4"/>
  <c r="J88" i="4"/>
  <c r="K447" i="4"/>
  <c r="J447" i="4"/>
  <c r="J173" i="6"/>
  <c r="I173" i="6"/>
  <c r="M173" i="6"/>
  <c r="I402" i="6"/>
  <c r="M402" i="6"/>
  <c r="J402" i="6"/>
  <c r="J12" i="5"/>
  <c r="K12" i="5"/>
  <c r="J69" i="5"/>
  <c r="K69" i="5"/>
  <c r="J58" i="5"/>
  <c r="K58" i="5"/>
  <c r="K43" i="5"/>
  <c r="J43" i="5"/>
  <c r="J308" i="4"/>
  <c r="K308" i="4"/>
  <c r="J357" i="4"/>
  <c r="K357" i="4"/>
  <c r="K187" i="4"/>
  <c r="J187" i="4"/>
  <c r="J188" i="4"/>
  <c r="K188" i="4"/>
  <c r="K315" i="4"/>
  <c r="J315" i="4"/>
  <c r="J155" i="4"/>
  <c r="K155" i="4"/>
  <c r="J318" i="4"/>
  <c r="K318" i="4"/>
  <c r="K125" i="4"/>
  <c r="J125" i="4"/>
  <c r="J144" i="4"/>
  <c r="K144" i="4"/>
  <c r="J85" i="4"/>
  <c r="K85" i="4"/>
  <c r="K250" i="4"/>
  <c r="J250" i="4"/>
  <c r="J163" i="4"/>
  <c r="K163" i="4"/>
  <c r="J444" i="4"/>
  <c r="K444" i="4"/>
  <c r="J284" i="4"/>
  <c r="K284" i="4"/>
  <c r="J432" i="4"/>
  <c r="K432" i="4"/>
  <c r="J93" i="4"/>
  <c r="K93" i="4"/>
  <c r="K363" i="4"/>
  <c r="J363" i="4"/>
  <c r="K87" i="4"/>
  <c r="J87" i="4"/>
  <c r="J310" i="4"/>
  <c r="K310" i="4"/>
  <c r="J304" i="4"/>
  <c r="K304" i="4"/>
  <c r="J492" i="4"/>
  <c r="K492" i="4"/>
  <c r="K12" i="4"/>
  <c r="J12" i="4"/>
  <c r="J382" i="6"/>
  <c r="I382" i="6"/>
  <c r="M382" i="6"/>
  <c r="J431" i="6"/>
  <c r="M431" i="6"/>
  <c r="I431" i="6"/>
  <c r="I96" i="6"/>
  <c r="J96" i="6"/>
  <c r="M96" i="6"/>
  <c r="I534" i="6"/>
  <c r="J534" i="6"/>
  <c r="M534" i="6"/>
  <c r="J501" i="6"/>
  <c r="I501" i="6"/>
  <c r="M501" i="6"/>
  <c r="I418" i="6"/>
  <c r="J418" i="6"/>
  <c r="M418" i="6"/>
  <c r="J155" i="6"/>
  <c r="M155" i="6"/>
  <c r="I155" i="6"/>
  <c r="I167" i="6"/>
  <c r="M303" i="6"/>
  <c r="J303" i="6"/>
  <c r="I303" i="6"/>
  <c r="I14" i="6"/>
  <c r="J14" i="6"/>
  <c r="M14" i="6"/>
  <c r="M350" i="6"/>
  <c r="I350" i="6"/>
  <c r="J445" i="6"/>
  <c r="M503" i="6"/>
  <c r="K45" i="4"/>
  <c r="J45" i="4"/>
  <c r="J246" i="4"/>
  <c r="K246" i="4"/>
  <c r="J166" i="6"/>
  <c r="M166" i="6"/>
  <c r="I166" i="6"/>
  <c r="J530" i="4"/>
  <c r="K530" i="4"/>
  <c r="I475" i="6"/>
  <c r="M475" i="6"/>
  <c r="J475" i="6"/>
  <c r="J309" i="4"/>
  <c r="K309" i="4"/>
  <c r="J428" i="4"/>
  <c r="K428" i="4"/>
  <c r="J390" i="4"/>
  <c r="K390" i="4"/>
  <c r="J489" i="6"/>
  <c r="M489" i="6"/>
  <c r="I489" i="6"/>
  <c r="M114" i="6"/>
  <c r="J114" i="6"/>
  <c r="I114" i="6"/>
  <c r="K399" i="4"/>
  <c r="J399" i="4"/>
  <c r="J26" i="4"/>
  <c r="K26" i="4"/>
  <c r="J59" i="6"/>
  <c r="I59" i="6"/>
  <c r="M59" i="6"/>
  <c r="K15" i="5"/>
  <c r="J15" i="5"/>
  <c r="J341" i="4"/>
  <c r="K341" i="4"/>
  <c r="K224" i="4"/>
  <c r="J224" i="4"/>
  <c r="K183" i="4"/>
  <c r="J183" i="4"/>
  <c r="J19" i="4"/>
  <c r="K19" i="4"/>
  <c r="K386" i="4"/>
  <c r="J386" i="4"/>
  <c r="J353" i="4"/>
  <c r="K353" i="4"/>
  <c r="J525" i="4"/>
  <c r="K525" i="4"/>
  <c r="M359" i="6"/>
  <c r="I359" i="6"/>
  <c r="J359" i="6"/>
  <c r="J471" i="6"/>
  <c r="M471" i="6"/>
  <c r="I471" i="6"/>
  <c r="I98" i="6"/>
  <c r="M98" i="6"/>
  <c r="J98" i="6"/>
  <c r="J509" i="6"/>
  <c r="I509" i="6"/>
  <c r="M509" i="6"/>
  <c r="K49" i="5"/>
  <c r="J49" i="5"/>
  <c r="J30" i="5"/>
  <c r="K30" i="5"/>
  <c r="K80" i="4"/>
  <c r="J80" i="4"/>
  <c r="J413" i="4"/>
  <c r="K413" i="4"/>
  <c r="J256" i="4"/>
  <c r="K256" i="4"/>
  <c r="K30" i="4"/>
  <c r="J30" i="4"/>
  <c r="K557" i="4"/>
  <c r="J557" i="4"/>
  <c r="J47" i="4"/>
  <c r="K47" i="4"/>
  <c r="J510" i="6"/>
  <c r="I510" i="6"/>
  <c r="M510" i="6"/>
  <c r="J426" i="4"/>
  <c r="K426" i="4"/>
  <c r="J185" i="4"/>
  <c r="K185" i="4"/>
  <c r="J48" i="6"/>
  <c r="I48" i="6"/>
  <c r="M48" i="6"/>
  <c r="J281" i="4"/>
  <c r="K281" i="4"/>
  <c r="K55" i="4"/>
  <c r="J55" i="4"/>
  <c r="K441" i="4"/>
  <c r="J441" i="4"/>
  <c r="J16" i="4"/>
  <c r="K16" i="4"/>
  <c r="J512" i="6"/>
  <c r="M512" i="6"/>
  <c r="J54" i="5"/>
  <c r="K54" i="5"/>
  <c r="J14" i="5"/>
  <c r="K14" i="5"/>
  <c r="J10" i="7"/>
  <c r="O10" i="7"/>
  <c r="K10" i="7"/>
  <c r="J452" i="4"/>
  <c r="K452" i="4"/>
  <c r="K111" i="4"/>
  <c r="J111" i="4"/>
  <c r="J473" i="4"/>
  <c r="K473" i="4"/>
  <c r="J266" i="4"/>
  <c r="K266" i="4"/>
  <c r="J28" i="4"/>
  <c r="K28" i="4"/>
  <c r="K344" i="4"/>
  <c r="J344" i="4"/>
  <c r="J515" i="4"/>
  <c r="K515" i="4"/>
  <c r="J210" i="4"/>
  <c r="J388" i="4"/>
  <c r="K151" i="4"/>
  <c r="J151" i="4"/>
  <c r="M245" i="6"/>
  <c r="J245" i="6"/>
  <c r="I245" i="6"/>
  <c r="I242" i="6"/>
  <c r="J242" i="6"/>
  <c r="M242" i="6"/>
  <c r="J203" i="6"/>
  <c r="M203" i="6"/>
  <c r="I203" i="6"/>
  <c r="I213" i="6"/>
  <c r="J213" i="6"/>
  <c r="M213" i="6"/>
  <c r="J197" i="6"/>
  <c r="I197" i="6"/>
  <c r="M197" i="6"/>
  <c r="J194" i="6"/>
  <c r="I194" i="6"/>
  <c r="M194" i="6"/>
  <c r="I65" i="6"/>
  <c r="M65" i="6"/>
  <c r="J65" i="6"/>
  <c r="M420" i="6"/>
  <c r="J420" i="6"/>
  <c r="I420" i="6"/>
  <c r="M177" i="6"/>
  <c r="I225" i="6"/>
  <c r="M225" i="6"/>
  <c r="J225" i="6"/>
  <c r="J273" i="6"/>
  <c r="I273" i="6"/>
  <c r="M273" i="6"/>
  <c r="J247" i="6"/>
  <c r="I247" i="6"/>
  <c r="M247" i="6"/>
  <c r="I72" i="6"/>
  <c r="J72" i="6"/>
  <c r="M72" i="6"/>
  <c r="J417" i="6" l="1"/>
  <c r="K535" i="4"/>
  <c r="J354" i="4"/>
  <c r="I164" i="6"/>
  <c r="I384" i="6"/>
  <c r="I417" i="6"/>
  <c r="J164" i="6"/>
  <c r="J384" i="6"/>
  <c r="K124" i="4"/>
  <c r="M460" i="6"/>
  <c r="J460" i="6"/>
  <c r="J229" i="6"/>
  <c r="M337" i="6"/>
  <c r="M343" i="6"/>
  <c r="J536" i="6"/>
  <c r="J337" i="6"/>
  <c r="J472" i="4"/>
  <c r="J177" i="6"/>
  <c r="J240" i="6"/>
  <c r="M469" i="6"/>
  <c r="J346" i="6"/>
  <c r="I458" i="6"/>
  <c r="K464" i="4"/>
  <c r="M464" i="4" s="1"/>
  <c r="K312" i="4"/>
  <c r="M312" i="4" s="1"/>
  <c r="M346" i="6"/>
  <c r="J458" i="6"/>
  <c r="I278" i="6"/>
  <c r="I240" i="6"/>
  <c r="M403" i="6"/>
  <c r="J469" i="6"/>
  <c r="I216" i="6"/>
  <c r="I403" i="6"/>
  <c r="J216" i="6"/>
  <c r="K136" i="4"/>
  <c r="M425" i="6"/>
  <c r="K227" i="4"/>
  <c r="J68" i="4"/>
  <c r="J425" i="6"/>
  <c r="J200" i="4"/>
  <c r="K104" i="4"/>
  <c r="J313" i="4"/>
  <c r="M313" i="4" s="1"/>
  <c r="M167" i="6"/>
  <c r="J22" i="4"/>
  <c r="M22" i="4" s="1"/>
  <c r="J275" i="4"/>
  <c r="M275" i="4" s="1"/>
  <c r="J54" i="4"/>
  <c r="M54" i="4" s="1"/>
  <c r="J215" i="4"/>
  <c r="M215" i="4" s="1"/>
  <c r="M515" i="6"/>
  <c r="J240" i="4"/>
  <c r="M298" i="6"/>
  <c r="M184" i="6"/>
  <c r="J184" i="6"/>
  <c r="J494" i="6"/>
  <c r="I494" i="6"/>
  <c r="I250" i="6"/>
  <c r="I253" i="6"/>
  <c r="M198" i="6"/>
  <c r="I298" i="6"/>
  <c r="J198" i="6"/>
  <c r="J253" i="6"/>
  <c r="J158" i="4"/>
  <c r="M158" i="4" s="1"/>
  <c r="J454" i="4"/>
  <c r="M454" i="4" s="1"/>
  <c r="M60" i="6"/>
  <c r="I393" i="6"/>
  <c r="I60" i="6"/>
  <c r="J393" i="6"/>
  <c r="M49" i="6"/>
  <c r="I49" i="6"/>
  <c r="I345" i="6"/>
  <c r="M111" i="6"/>
  <c r="J167" i="4"/>
  <c r="M167" i="4" s="1"/>
  <c r="I111" i="6"/>
  <c r="M432" i="6"/>
  <c r="I432" i="6"/>
  <c r="J345" i="6"/>
  <c r="J387" i="4"/>
  <c r="M387" i="4" s="1"/>
  <c r="J18" i="4"/>
  <c r="M18" i="4" s="1"/>
  <c r="J512" i="4"/>
  <c r="J179" i="4"/>
  <c r="K123" i="4"/>
  <c r="I200" i="6"/>
  <c r="M210" i="6"/>
  <c r="I210" i="6"/>
  <c r="J279" i="6"/>
  <c r="M395" i="6"/>
  <c r="M279" i="6"/>
  <c r="K374" i="4"/>
  <c r="M374" i="4" s="1"/>
  <c r="I395" i="6"/>
  <c r="M286" i="6"/>
  <c r="I286" i="6"/>
  <c r="M466" i="6"/>
  <c r="M182" i="6"/>
  <c r="I492" i="6"/>
  <c r="K424" i="4"/>
  <c r="M424" i="4" s="1"/>
  <c r="I182" i="6"/>
  <c r="M349" i="6"/>
  <c r="K24" i="4"/>
  <c r="M24" i="4" s="1"/>
  <c r="I466" i="6"/>
  <c r="M477" i="6"/>
  <c r="M480" i="6"/>
  <c r="I480" i="6"/>
  <c r="M492" i="6"/>
  <c r="K319" i="4"/>
  <c r="M319" i="4" s="1"/>
  <c r="J349" i="6"/>
  <c r="J477" i="6"/>
  <c r="M9" i="6"/>
  <c r="K490" i="4"/>
  <c r="M490" i="4" s="1"/>
  <c r="I87" i="6"/>
  <c r="I351" i="6"/>
  <c r="J87" i="6"/>
  <c r="J351" i="6"/>
  <c r="K181" i="4"/>
  <c r="M181" i="4" s="1"/>
  <c r="I9" i="6"/>
  <c r="M199" i="6"/>
  <c r="K166" i="4"/>
  <c r="M166" i="4" s="1"/>
  <c r="K323" i="4"/>
  <c r="J535" i="6"/>
  <c r="K29" i="4"/>
  <c r="M29" i="4" s="1"/>
  <c r="I199" i="6"/>
  <c r="M535" i="6"/>
  <c r="M427" i="6"/>
  <c r="M498" i="6"/>
  <c r="M553" i="6"/>
  <c r="K257" i="4"/>
  <c r="M257" i="4" s="1"/>
  <c r="I427" i="6"/>
  <c r="K474" i="4"/>
  <c r="M474" i="4" s="1"/>
  <c r="I249" i="6"/>
  <c r="J249" i="6"/>
  <c r="I498" i="6"/>
  <c r="I553" i="6"/>
  <c r="I407" i="6"/>
  <c r="M373" i="6"/>
  <c r="I43" i="6"/>
  <c r="J252" i="4"/>
  <c r="M252" i="4" s="1"/>
  <c r="M43" i="6"/>
  <c r="M445" i="6"/>
  <c r="J439" i="4"/>
  <c r="M439" i="4" s="1"/>
  <c r="K298" i="4"/>
  <c r="M298" i="4" s="1"/>
  <c r="I536" i="6"/>
  <c r="J250" i="6"/>
  <c r="M200" i="6"/>
  <c r="M407" i="6"/>
  <c r="J373" i="6"/>
  <c r="K541" i="4"/>
  <c r="M541" i="4" s="1"/>
  <c r="J130" i="6"/>
  <c r="M130" i="6"/>
  <c r="J304" i="6"/>
  <c r="I513" i="6"/>
  <c r="J513" i="6"/>
  <c r="I304" i="6"/>
  <c r="K427" i="4"/>
  <c r="M427" i="4" s="1"/>
  <c r="I208" i="6"/>
  <c r="M208" i="6"/>
  <c r="J273" i="4"/>
  <c r="M273" i="4" s="1"/>
  <c r="K76" i="5"/>
  <c r="M76" i="5" s="1"/>
  <c r="K384" i="4"/>
  <c r="M384" i="4" s="1"/>
  <c r="I503" i="6"/>
  <c r="J83" i="6"/>
  <c r="M83" i="6"/>
  <c r="M7" i="4"/>
  <c r="M77" i="4"/>
  <c r="M435" i="4"/>
  <c r="M346" i="4"/>
  <c r="M529" i="4"/>
  <c r="M458" i="4"/>
  <c r="M406" i="4"/>
  <c r="M402" i="4"/>
  <c r="M421" i="4"/>
  <c r="M33" i="4"/>
  <c r="M11" i="4"/>
  <c r="M404" i="4"/>
  <c r="M164" i="4"/>
  <c r="M70" i="4"/>
  <c r="M555" i="4"/>
  <c r="M202" i="4"/>
  <c r="M500" i="4"/>
  <c r="M35" i="4"/>
  <c r="M331" i="4"/>
  <c r="M448" i="4"/>
  <c r="M516" i="4"/>
  <c r="M291" i="4"/>
  <c r="M89" i="4"/>
  <c r="M433" i="4"/>
  <c r="M46" i="4"/>
  <c r="M205" i="4"/>
  <c r="M349" i="4"/>
  <c r="M8" i="4"/>
  <c r="M534" i="4"/>
  <c r="M23" i="5"/>
  <c r="M213" i="4"/>
  <c r="M18" i="5"/>
  <c r="M371" i="4"/>
  <c r="AN155" i="10"/>
  <c r="AO155" i="10" s="1"/>
  <c r="M87" i="4"/>
  <c r="M88" i="4"/>
  <c r="M14" i="4"/>
  <c r="M97" i="4"/>
  <c r="M280" i="4"/>
  <c r="M365" i="4"/>
  <c r="M436" i="4"/>
  <c r="M204" i="4"/>
  <c r="M24" i="5"/>
  <c r="M44" i="4"/>
  <c r="M306" i="4"/>
  <c r="M73" i="4"/>
  <c r="M11" i="5"/>
  <c r="M286" i="4"/>
  <c r="M68" i="4"/>
  <c r="M147" i="4"/>
  <c r="M237" i="4"/>
  <c r="M42" i="4"/>
  <c r="M75" i="5"/>
  <c r="M248" i="4"/>
  <c r="M430" i="4"/>
  <c r="M151" i="4"/>
  <c r="M388" i="4"/>
  <c r="M111" i="4"/>
  <c r="M183" i="4"/>
  <c r="M224" i="4"/>
  <c r="M15" i="5"/>
  <c r="M8" i="5"/>
  <c r="M285" i="4"/>
  <c r="M47" i="4"/>
  <c r="M228" i="4"/>
  <c r="M184" i="4"/>
  <c r="M548" i="4"/>
  <c r="M438" i="4"/>
  <c r="M522" i="4"/>
  <c r="M27" i="5"/>
  <c r="M271" i="4"/>
  <c r="M191" i="4"/>
  <c r="M25" i="4"/>
  <c r="M370" i="4"/>
  <c r="M259" i="4"/>
  <c r="M128" i="4"/>
  <c r="M293" i="4"/>
  <c r="M355" i="4"/>
  <c r="M175" i="4"/>
  <c r="M15" i="4"/>
  <c r="M20" i="4"/>
  <c r="AN153" i="10"/>
  <c r="AO153" i="10" s="1"/>
  <c r="M182" i="4"/>
  <c r="M393" i="4"/>
  <c r="M60" i="5"/>
  <c r="M514" i="4"/>
  <c r="M264" i="4"/>
  <c r="M302" i="4"/>
  <c r="M75" i="4"/>
  <c r="M62" i="5"/>
  <c r="M10" i="5"/>
  <c r="M137" i="4"/>
  <c r="M192" i="4"/>
  <c r="M521" i="4"/>
  <c r="M545" i="4"/>
  <c r="M23" i="4"/>
  <c r="M83" i="4"/>
  <c r="M70" i="5"/>
  <c r="M503" i="4"/>
  <c r="M29" i="5"/>
  <c r="M36" i="4"/>
  <c r="M429" i="4"/>
  <c r="M72" i="5"/>
  <c r="M193" i="4"/>
  <c r="M32" i="5"/>
  <c r="M476" i="4"/>
  <c r="M338" i="4"/>
  <c r="M76" i="4"/>
  <c r="M173" i="4"/>
  <c r="M513" i="4"/>
  <c r="M557" i="4"/>
  <c r="M38" i="4"/>
  <c r="M460" i="4"/>
  <c r="M408" i="4"/>
  <c r="M35" i="5"/>
  <c r="M437" i="4"/>
  <c r="M203" i="4"/>
  <c r="M51" i="5"/>
  <c r="M65" i="4"/>
  <c r="M94" i="4"/>
  <c r="M518" i="4"/>
  <c r="AS114" i="10"/>
  <c r="AP114" i="10"/>
  <c r="AR114" i="10"/>
  <c r="AR160" i="10"/>
  <c r="AS160" i="10"/>
  <c r="AP160" i="10"/>
  <c r="AS105" i="10"/>
  <c r="AR105" i="10"/>
  <c r="AP105" i="10"/>
  <c r="AR106" i="10"/>
  <c r="AS106" i="10"/>
  <c r="AP106" i="10"/>
  <c r="M30" i="4"/>
  <c r="M163" i="4"/>
  <c r="M211" i="4"/>
  <c r="M478" i="4"/>
  <c r="M220" i="4"/>
  <c r="M542" i="4"/>
  <c r="M483" i="4"/>
  <c r="M110" i="4"/>
  <c r="M244" i="4"/>
  <c r="M127" i="4"/>
  <c r="M52" i="4"/>
  <c r="M229" i="4"/>
  <c r="M143" i="4"/>
  <c r="M508" i="4"/>
  <c r="M377" i="4"/>
  <c r="M462" i="4"/>
  <c r="M43" i="4"/>
  <c r="M62" i="4"/>
  <c r="M276" i="4"/>
  <c r="M176" i="4"/>
  <c r="AP103" i="10"/>
  <c r="AS103" i="10"/>
  <c r="AR103" i="10"/>
  <c r="AR125" i="10"/>
  <c r="AS125" i="10"/>
  <c r="AP125" i="10"/>
  <c r="AQ98" i="10"/>
  <c r="AS98" i="10"/>
  <c r="AR98" i="10"/>
  <c r="AR133" i="10"/>
  <c r="AS133" i="10"/>
  <c r="AP133" i="10"/>
  <c r="M195" i="4"/>
  <c r="M141" i="4"/>
  <c r="M34" i="4"/>
  <c r="M352" i="4"/>
  <c r="AS68" i="10"/>
  <c r="AR68" i="10"/>
  <c r="AQ68" i="10"/>
  <c r="AS142" i="10"/>
  <c r="AP142" i="10"/>
  <c r="AR142" i="10"/>
  <c r="M353" i="4"/>
  <c r="M16" i="4"/>
  <c r="M316" i="4"/>
  <c r="M413" i="4"/>
  <c r="M334" i="4"/>
  <c r="M174" i="4"/>
  <c r="M125" i="4"/>
  <c r="M154" i="4"/>
  <c r="M505" i="4"/>
  <c r="M63" i="5"/>
  <c r="M356" i="4"/>
  <c r="M240" i="4"/>
  <c r="M358" i="4"/>
  <c r="M282" i="4"/>
  <c r="M251" i="4"/>
  <c r="AR104" i="10"/>
  <c r="AS104" i="10"/>
  <c r="AP104" i="10"/>
  <c r="AS179" i="10"/>
  <c r="AR179" i="10"/>
  <c r="AP179" i="10"/>
  <c r="AP181" i="10"/>
  <c r="AR181" i="10"/>
  <c r="AS181" i="10"/>
  <c r="M397" i="4"/>
  <c r="AR127" i="10"/>
  <c r="AS127" i="10"/>
  <c r="AQ127" i="10"/>
  <c r="AR171" i="10"/>
  <c r="AP171" i="10"/>
  <c r="AS171" i="10"/>
  <c r="AP176" i="10"/>
  <c r="AR176" i="10"/>
  <c r="AS176" i="10"/>
  <c r="AS178" i="10"/>
  <c r="AP178" i="10"/>
  <c r="AR178" i="10"/>
  <c r="M260" i="4"/>
  <c r="AS101" i="10"/>
  <c r="AQ101" i="10"/>
  <c r="AR101" i="10"/>
  <c r="M61" i="5"/>
  <c r="M488" i="4"/>
  <c r="AS174" i="10"/>
  <c r="AR174" i="10"/>
  <c r="AP174" i="10"/>
  <c r="M26" i="5"/>
  <c r="M22" i="5"/>
  <c r="AS61" i="10"/>
  <c r="AQ61" i="10"/>
  <c r="AR61" i="10"/>
  <c r="AR157" i="10"/>
  <c r="AP157" i="10"/>
  <c r="AS157" i="10"/>
  <c r="M58" i="5"/>
  <c r="M336" i="4"/>
  <c r="M69" i="5"/>
  <c r="M347" i="4"/>
  <c r="M307" i="4"/>
  <c r="M153" i="4"/>
  <c r="AS144" i="10"/>
  <c r="AP144" i="10"/>
  <c r="AR144" i="10"/>
  <c r="M49" i="5"/>
  <c r="M73" i="5"/>
  <c r="M51" i="4"/>
  <c r="M554" i="4"/>
  <c r="M494" i="4"/>
  <c r="AN154" i="10"/>
  <c r="AO154" i="10" s="1"/>
  <c r="AQ95" i="10"/>
  <c r="AS95" i="10"/>
  <c r="AR95" i="10"/>
  <c r="M342" i="4"/>
  <c r="M403" i="4"/>
  <c r="M532" i="4"/>
  <c r="AS71" i="10"/>
  <c r="AQ71" i="10"/>
  <c r="AR71" i="10"/>
  <c r="AR119" i="10"/>
  <c r="AQ119" i="10"/>
  <c r="AS119" i="10"/>
  <c r="AS153" i="10"/>
  <c r="AR153" i="10"/>
  <c r="AP153" i="10"/>
  <c r="AS172" i="10"/>
  <c r="AP172" i="10"/>
  <c r="AR172" i="10"/>
  <c r="AR137" i="10"/>
  <c r="AS137" i="10"/>
  <c r="AP137" i="10"/>
  <c r="M91" i="4"/>
  <c r="AQ91" i="10"/>
  <c r="AR91" i="10"/>
  <c r="AS91" i="10"/>
  <c r="M456" i="4"/>
  <c r="M131" i="4"/>
  <c r="AS139" i="10"/>
  <c r="AR139" i="10"/>
  <c r="AP139" i="10"/>
  <c r="M85" i="4"/>
  <c r="M544" i="4"/>
  <c r="AR155" i="10"/>
  <c r="AP155" i="10"/>
  <c r="AS155" i="10"/>
  <c r="M28" i="4"/>
  <c r="AQ92" i="10"/>
  <c r="AR92" i="10"/>
  <c r="AS92" i="10"/>
  <c r="AS72" i="10"/>
  <c r="AQ72" i="10"/>
  <c r="AQ188" i="10" s="1"/>
  <c r="AR72" i="10"/>
  <c r="AP165" i="10"/>
  <c r="AS165" i="10"/>
  <c r="AR165" i="10"/>
  <c r="AR93" i="10"/>
  <c r="AS93" i="10"/>
  <c r="AQ93" i="10"/>
  <c r="M537" i="4"/>
  <c r="M305" i="4"/>
  <c r="M20" i="5"/>
  <c r="AR180" i="10"/>
  <c r="AP180" i="10"/>
  <c r="AS180" i="10"/>
  <c r="AR116" i="10"/>
  <c r="AS116" i="10"/>
  <c r="AQ116" i="10"/>
  <c r="AR131" i="10"/>
  <c r="AS131" i="10"/>
  <c r="AP131" i="10"/>
  <c r="AQ118" i="10"/>
  <c r="AR118" i="10"/>
  <c r="AS118" i="10"/>
  <c r="AP141" i="10"/>
  <c r="AS141" i="10"/>
  <c r="AR141" i="10"/>
  <c r="M227" i="4"/>
  <c r="M71" i="4"/>
  <c r="M411" i="4"/>
  <c r="AP164" i="10"/>
  <c r="AS164" i="10"/>
  <c r="AR164" i="10"/>
  <c r="AR163" i="10"/>
  <c r="AQ163" i="10"/>
  <c r="AS163" i="10"/>
  <c r="AP140" i="10"/>
  <c r="AS140" i="10"/>
  <c r="AR140" i="10"/>
  <c r="AP177" i="10"/>
  <c r="AR177" i="10"/>
  <c r="AS177" i="10"/>
  <c r="AR86" i="10"/>
  <c r="AQ86" i="10"/>
  <c r="AS86" i="10"/>
  <c r="M256" i="4"/>
  <c r="M547" i="4"/>
  <c r="M74" i="4"/>
  <c r="M549" i="4"/>
  <c r="AR111" i="10"/>
  <c r="AS111" i="10"/>
  <c r="AP111" i="10"/>
  <c r="AR166" i="10"/>
  <c r="AS166" i="10"/>
  <c r="AP166" i="10"/>
  <c r="AS161" i="10"/>
  <c r="AR161" i="10"/>
  <c r="AP161" i="10"/>
  <c r="M366" i="4"/>
  <c r="AP129" i="10"/>
  <c r="AS129" i="10"/>
  <c r="AR129" i="10"/>
  <c r="AS69" i="10"/>
  <c r="AR69" i="10"/>
  <c r="AQ69" i="10"/>
  <c r="AR169" i="10"/>
  <c r="AQ169" i="10"/>
  <c r="AS169" i="10"/>
  <c r="AP115" i="10"/>
  <c r="AR115" i="10"/>
  <c r="AS115" i="10"/>
  <c r="M34" i="5"/>
  <c r="AP167" i="10"/>
  <c r="AR167" i="10"/>
  <c r="AS167" i="10"/>
  <c r="M169" i="4"/>
  <c r="M218" i="4"/>
  <c r="M156" i="4"/>
  <c r="M394" i="4"/>
  <c r="AS175" i="10"/>
  <c r="AP175" i="10"/>
  <c r="AR175" i="10"/>
  <c r="M504" i="4"/>
  <c r="M115" i="4"/>
  <c r="M189" i="4"/>
  <c r="M66" i="5"/>
  <c r="M212" i="4"/>
  <c r="M130" i="4"/>
  <c r="M327" i="4"/>
  <c r="M159" i="4"/>
  <c r="M64" i="5"/>
  <c r="AQ96" i="10"/>
  <c r="AS96" i="10"/>
  <c r="AR96" i="10"/>
  <c r="AS156" i="10"/>
  <c r="AR156" i="10"/>
  <c r="AP156" i="10"/>
  <c r="AR78" i="10"/>
  <c r="AP78" i="10"/>
  <c r="AS78" i="10"/>
  <c r="B10" i="18"/>
  <c r="M270" i="4"/>
  <c r="M300" i="4"/>
  <c r="AP124" i="10"/>
  <c r="AS124" i="10"/>
  <c r="AR124" i="10"/>
  <c r="M535" i="4"/>
  <c r="AP123" i="10"/>
  <c r="AR123" i="10"/>
  <c r="AS123" i="10"/>
  <c r="AR150" i="10"/>
  <c r="AQ150" i="10"/>
  <c r="AS150" i="10"/>
  <c r="AS130" i="10"/>
  <c r="AP130" i="10"/>
  <c r="AR130" i="10"/>
  <c r="AP112" i="10"/>
  <c r="AR112" i="10"/>
  <c r="AS112" i="10"/>
  <c r="M369" i="4"/>
  <c r="AP113" i="10"/>
  <c r="AS113" i="10"/>
  <c r="AR113" i="10"/>
  <c r="M345" i="4"/>
  <c r="M84" i="4"/>
  <c r="AS132" i="10"/>
  <c r="AP132" i="10"/>
  <c r="AR132" i="10"/>
  <c r="AS117" i="10"/>
  <c r="AR117" i="10"/>
  <c r="AQ117" i="10"/>
  <c r="AP143" i="10"/>
  <c r="AS143" i="10"/>
  <c r="AR143" i="10"/>
  <c r="AR100" i="10"/>
  <c r="AS100" i="10"/>
  <c r="AQ100" i="10"/>
  <c r="M492" i="4"/>
  <c r="M47" i="5"/>
  <c r="M480" i="4"/>
  <c r="M172" i="4"/>
  <c r="M242" i="4"/>
  <c r="M311" i="4"/>
  <c r="M69" i="4"/>
  <c r="M254" i="4"/>
  <c r="M32" i="4"/>
  <c r="M68" i="5"/>
  <c r="M21" i="4"/>
  <c r="M409" i="4"/>
  <c r="M39" i="4"/>
  <c r="M13" i="4"/>
  <c r="M392" i="4"/>
  <c r="M233" i="4"/>
  <c r="M67" i="5"/>
  <c r="M249" i="4"/>
  <c r="M148" i="4"/>
  <c r="M179" i="4"/>
  <c r="M19" i="5"/>
  <c r="M21" i="5"/>
  <c r="M405" i="4"/>
  <c r="M379" i="4"/>
  <c r="M333" i="4"/>
  <c r="M231" i="4"/>
  <c r="M12" i="5"/>
  <c r="M59" i="5"/>
  <c r="M269" i="4"/>
  <c r="M470" i="4"/>
  <c r="M39" i="5"/>
  <c r="M19" i="4"/>
  <c r="M277" i="4"/>
  <c r="M467" i="4"/>
  <c r="M25" i="5"/>
  <c r="M372" i="4"/>
  <c r="M81" i="4"/>
  <c r="M40" i="4"/>
  <c r="M17" i="5"/>
  <c r="M41" i="5"/>
  <c r="M14" i="5"/>
  <c r="M432" i="4"/>
  <c r="M101" i="4"/>
  <c r="M517" i="4"/>
  <c r="M40" i="5"/>
  <c r="M95" i="4"/>
  <c r="M396" i="4"/>
  <c r="M235" i="4"/>
  <c r="M57" i="4"/>
  <c r="M239" i="4"/>
  <c r="M100" i="4"/>
  <c r="M232" i="4"/>
  <c r="M446" i="4"/>
  <c r="M320" i="4"/>
  <c r="M528" i="4"/>
  <c r="M27" i="4"/>
  <c r="M199" i="4"/>
  <c r="M217" i="4"/>
  <c r="M50" i="4"/>
  <c r="M59" i="4"/>
  <c r="M479" i="4"/>
  <c r="M245" i="4"/>
  <c r="M498" i="4"/>
  <c r="M138" i="4"/>
  <c r="M57" i="5"/>
  <c r="M139" i="4"/>
  <c r="M53" i="5"/>
  <c r="M335" i="4"/>
  <c r="M540" i="4"/>
  <c r="M112" i="4"/>
  <c r="M519" i="4"/>
  <c r="M364" i="4"/>
  <c r="M238" i="4"/>
  <c r="M414" i="4"/>
  <c r="M9" i="4"/>
  <c r="M472" i="4"/>
  <c r="M445" i="4"/>
  <c r="M168" i="4"/>
  <c r="M512" i="4"/>
  <c r="M118" i="4"/>
  <c r="M389" i="4"/>
  <c r="M299" i="4"/>
  <c r="M121" i="4"/>
  <c r="M266" i="4"/>
  <c r="M329" i="4"/>
  <c r="M55" i="5"/>
  <c r="M536" i="4"/>
  <c r="M314" i="4"/>
  <c r="M10" i="4"/>
  <c r="M13" i="5"/>
  <c r="M526" i="4"/>
  <c r="M321" i="4"/>
  <c r="M368" i="4"/>
  <c r="M515" i="4"/>
  <c r="M144" i="4"/>
  <c r="M461" i="4"/>
  <c r="M185" i="4"/>
  <c r="M487" i="4"/>
  <c r="M17" i="4"/>
  <c r="M216" i="4"/>
  <c r="M497" i="4"/>
  <c r="M295" i="4"/>
  <c r="M323" i="4"/>
  <c r="M236" i="4"/>
  <c r="M122" i="4"/>
  <c r="M145" i="4"/>
  <c r="M194" i="4"/>
  <c r="M441" i="4"/>
  <c r="M386" i="4"/>
  <c r="M55" i="4"/>
  <c r="M80" i="4"/>
  <c r="M41" i="4"/>
  <c r="M45" i="5"/>
  <c r="M523" i="4"/>
  <c r="M150" i="4"/>
  <c r="M208" i="4"/>
  <c r="M412" i="4"/>
  <c r="M262" i="4"/>
  <c r="M449" i="4"/>
  <c r="M50" i="5"/>
  <c r="M265" i="4"/>
  <c r="M38" i="5"/>
  <c r="M539" i="4"/>
  <c r="M92" i="4"/>
  <c r="M337" i="4"/>
  <c r="M171" i="4"/>
  <c r="M103" i="4"/>
  <c r="M78" i="5"/>
  <c r="M422" i="4"/>
  <c r="M86" i="4"/>
  <c r="M351" i="4"/>
  <c r="M74" i="5"/>
  <c r="M136" i="4"/>
  <c r="M473" i="4"/>
  <c r="M281" i="4"/>
  <c r="M30" i="5"/>
  <c r="M198" i="4"/>
  <c r="M380" i="4"/>
  <c r="M37" i="5"/>
  <c r="M556" i="4"/>
  <c r="M42" i="5"/>
  <c r="M361" i="4"/>
  <c r="M61" i="4"/>
  <c r="M120" i="4"/>
  <c r="M268" i="4"/>
  <c r="M475" i="4"/>
  <c r="B84" i="14"/>
  <c r="Z10" i="7"/>
  <c r="AA10" i="7" s="1"/>
  <c r="B8" i="18"/>
  <c r="M341" i="4"/>
  <c r="M309" i="4"/>
  <c r="M304" i="4"/>
  <c r="M419" i="4"/>
  <c r="M511" i="4"/>
  <c r="M381" i="4"/>
  <c r="M274" i="4"/>
  <c r="M146" i="4"/>
  <c r="M477" i="4"/>
  <c r="M108" i="4"/>
  <c r="M222" i="4"/>
  <c r="M383" i="4"/>
  <c r="M149" i="4"/>
  <c r="M339" i="4"/>
  <c r="M77" i="5"/>
  <c r="M255" i="4"/>
  <c r="M165" i="4"/>
  <c r="M417" i="4"/>
  <c r="M451" i="4"/>
  <c r="M434" i="4"/>
  <c r="M71" i="5"/>
  <c r="M96" i="4"/>
  <c r="M390" i="4"/>
  <c r="M326" i="4"/>
  <c r="M258" i="4"/>
  <c r="M123" i="4"/>
  <c r="M378" i="4"/>
  <c r="M180" i="4"/>
  <c r="M160" i="4"/>
  <c r="M527" i="4"/>
  <c r="M113" i="4"/>
  <c r="M90" i="4"/>
  <c r="M310" i="4"/>
  <c r="M318" i="4"/>
  <c r="M452" i="4"/>
  <c r="M155" i="4"/>
  <c r="M247" i="4"/>
  <c r="M294" i="4"/>
  <c r="M367" i="4"/>
  <c r="M33" i="5"/>
  <c r="M520" i="4"/>
  <c r="M214" i="4"/>
  <c r="M303" i="4"/>
  <c r="M157" i="4"/>
  <c r="M60" i="4"/>
  <c r="M243" i="4"/>
  <c r="M7" i="5"/>
  <c r="M450" i="4"/>
  <c r="M428" i="4"/>
  <c r="M363" i="4"/>
  <c r="M315" i="4"/>
  <c r="M447" i="4"/>
  <c r="M443" i="4"/>
  <c r="M170" i="4"/>
  <c r="M328" i="4"/>
  <c r="M550" i="4"/>
  <c r="M297" i="4"/>
  <c r="M418" i="4"/>
  <c r="M509" i="4"/>
  <c r="M416" i="4"/>
  <c r="M219" i="4"/>
  <c r="M533" i="4"/>
  <c r="M162" i="4"/>
  <c r="M507" i="4"/>
  <c r="M124" i="4"/>
  <c r="M72" i="4"/>
  <c r="M425" i="4"/>
  <c r="M453" i="4"/>
  <c r="M531" i="4"/>
  <c r="M206" i="4"/>
  <c r="M501" i="4"/>
  <c r="M63" i="4"/>
  <c r="M142" i="4"/>
  <c r="M296" i="4"/>
  <c r="M290" i="4"/>
  <c r="M106" i="4"/>
  <c r="M546" i="4"/>
  <c r="M56" i="5"/>
  <c r="M455" i="4"/>
  <c r="M178" i="4"/>
  <c r="M241" i="4"/>
  <c r="M28" i="5"/>
  <c r="M109" i="4"/>
  <c r="M79" i="4"/>
  <c r="M37" i="4"/>
  <c r="M67" i="4"/>
  <c r="M553" i="4"/>
  <c r="M551" i="4"/>
  <c r="M226" i="4"/>
  <c r="B36" i="18"/>
  <c r="M401" i="4"/>
  <c r="M426" i="4"/>
  <c r="M93" i="4"/>
  <c r="M188" i="4"/>
  <c r="M200" i="4"/>
  <c r="M187" i="4"/>
  <c r="M223" i="4"/>
  <c r="M457" i="4"/>
  <c r="M407" i="4"/>
  <c r="M140" i="4"/>
  <c r="M279" i="4"/>
  <c r="M9" i="5"/>
  <c r="M234" i="4"/>
  <c r="M459" i="4"/>
  <c r="M496" i="4"/>
  <c r="M484" i="4"/>
  <c r="M190" i="4"/>
  <c r="M485" i="4"/>
  <c r="M385" i="4"/>
  <c r="M134" i="4"/>
  <c r="M481" i="4"/>
  <c r="M16" i="5"/>
  <c r="B9" i="18"/>
  <c r="M114" i="4"/>
  <c r="M466" i="4"/>
  <c r="M373" i="4"/>
  <c r="M382" i="4"/>
  <c r="M53" i="4"/>
  <c r="M129" i="4"/>
  <c r="M493" i="4"/>
  <c r="M376" i="4"/>
  <c r="M54" i="5"/>
  <c r="M530" i="4"/>
  <c r="M284" i="4"/>
  <c r="M357" i="4"/>
  <c r="M288" i="4"/>
  <c r="M132" i="4"/>
  <c r="M499" i="4"/>
  <c r="M253" i="4"/>
  <c r="M186" i="4"/>
  <c r="M48" i="4"/>
  <c r="M230" i="4"/>
  <c r="M78" i="4"/>
  <c r="M52" i="5"/>
  <c r="M400" i="4"/>
  <c r="M58" i="4"/>
  <c r="M31" i="4"/>
  <c r="M66" i="4"/>
  <c r="M322" i="4"/>
  <c r="M495" i="4"/>
  <c r="M102" i="4"/>
  <c r="M263" i="4"/>
  <c r="M64" i="4"/>
  <c r="M348" i="4"/>
  <c r="M107" i="4"/>
  <c r="M360" i="4"/>
  <c r="M552" i="4"/>
  <c r="M278" i="4"/>
  <c r="M105" i="4"/>
  <c r="M283" i="4"/>
  <c r="M133" i="4"/>
  <c r="M82" i="4"/>
  <c r="M116" i="4"/>
  <c r="M210" i="4"/>
  <c r="M26" i="4"/>
  <c r="M444" i="4"/>
  <c r="M308" i="4"/>
  <c r="M362" i="4"/>
  <c r="M510" i="4"/>
  <c r="M395" i="4"/>
  <c r="M31" i="5"/>
  <c r="M225" i="4"/>
  <c r="M135" i="4"/>
  <c r="M48" i="5"/>
  <c r="M152" i="4"/>
  <c r="M491" i="4"/>
  <c r="M221" i="4"/>
  <c r="M261" i="4"/>
  <c r="M399" i="4"/>
  <c r="M43" i="5"/>
  <c r="M431" i="4"/>
  <c r="M415" i="4"/>
  <c r="M207" i="4"/>
  <c r="M196" i="4"/>
  <c r="M287" i="4"/>
  <c r="M119" i="4"/>
  <c r="M117" i="4"/>
  <c r="M471" i="4"/>
  <c r="M201" i="4"/>
  <c r="M344" i="4"/>
  <c r="M525" i="4"/>
  <c r="M246" i="4"/>
  <c r="M12" i="4"/>
  <c r="M250" i="4"/>
  <c r="M104" i="4"/>
  <c r="M197" i="4"/>
  <c r="M46" i="5"/>
  <c r="M317" i="4"/>
  <c r="M209" i="4"/>
  <c r="M267" i="4"/>
  <c r="M506" i="4"/>
  <c r="M36" i="5"/>
  <c r="M543" i="4"/>
  <c r="M465" i="4"/>
  <c r="M56" i="4"/>
  <c r="M340" i="4"/>
  <c r="M410" i="4"/>
  <c r="M99" i="4"/>
  <c r="M502" i="4"/>
  <c r="M440" i="4"/>
  <c r="M272" i="4"/>
  <c r="M324" i="4"/>
  <c r="M350" i="4"/>
  <c r="M301" i="4"/>
  <c r="M343" i="4"/>
  <c r="M463" i="4"/>
  <c r="M292" i="4"/>
  <c r="M177" i="4"/>
  <c r="M45" i="4"/>
  <c r="M44" i="5"/>
  <c r="M489" i="4"/>
  <c r="M420" i="4"/>
  <c r="M391" i="4"/>
  <c r="M325" i="4"/>
  <c r="M65" i="5"/>
  <c r="M482" i="4"/>
  <c r="M359" i="4"/>
  <c r="B37" i="18"/>
  <c r="M354" i="4"/>
  <c r="M486" i="4"/>
  <c r="M469" i="4"/>
  <c r="M49" i="4"/>
  <c r="M524" i="4"/>
  <c r="M289" i="4"/>
  <c r="M126" i="4"/>
  <c r="M332" i="4"/>
  <c r="M161" i="4"/>
  <c r="M538" i="4"/>
  <c r="M442" i="4"/>
  <c r="M98" i="4"/>
  <c r="M330" i="4"/>
  <c r="M375" i="4"/>
  <c r="M468" i="4"/>
  <c r="M398" i="4"/>
  <c r="M423" i="4"/>
  <c r="B7" i="18" l="1"/>
  <c r="B12" i="18" s="1"/>
  <c r="C198" i="10"/>
  <c r="C201" i="10" s="1"/>
  <c r="C205" i="10" s="1"/>
  <c r="C209" i="10" s="1"/>
  <c r="H8" i="50"/>
  <c r="H10" i="50"/>
  <c r="AP154" i="10"/>
  <c r="AP188" i="10" s="1"/>
  <c r="AS154" i="10"/>
  <c r="AR154" i="10"/>
  <c r="AR188" i="10" s="1"/>
  <c r="D198" i="10" s="1"/>
  <c r="D201" i="10" s="1"/>
  <c r="B214" i="10" s="1"/>
  <c r="B35" i="18"/>
  <c r="B22" i="53"/>
  <c r="B23" i="53" s="1"/>
  <c r="D43" i="17"/>
  <c r="D44" i="17" s="1"/>
  <c r="B21" i="20"/>
  <c r="B22" i="20" s="1"/>
  <c r="B218" i="10"/>
  <c r="B47" i="28"/>
  <c r="B51" i="28" s="1"/>
  <c r="B48" i="20"/>
  <c r="B49" i="20" s="1"/>
  <c r="B33" i="20"/>
  <c r="B34" i="20" s="1"/>
  <c r="B12" i="20"/>
  <c r="B14" i="20" s="1"/>
  <c r="B30" i="26"/>
  <c r="B35" i="26" s="1"/>
  <c r="B198" i="10" l="1"/>
  <c r="B201" i="10" s="1"/>
  <c r="B205" i="10" s="1"/>
  <c r="C208" i="10"/>
  <c r="AS188" i="10"/>
  <c r="E198" i="10" s="1"/>
  <c r="E201" i="10" s="1"/>
  <c r="B215" i="10" s="1"/>
  <c r="B227" i="10" s="1"/>
  <c r="R7" i="7" s="1"/>
  <c r="R15" i="7" s="1"/>
  <c r="Z15" i="7" s="1"/>
  <c r="AA15" i="7" s="1"/>
  <c r="B226" i="10"/>
  <c r="R6" i="7" s="1"/>
  <c r="R14" i="7" s="1"/>
  <c r="Z14" i="7" s="1"/>
  <c r="AA14" i="7" s="1"/>
  <c r="C19" i="18"/>
  <c r="C29" i="18" s="1"/>
  <c r="H9" i="50"/>
  <c r="B208" i="10"/>
  <c r="B212" i="10" s="1"/>
  <c r="B19" i="18" s="1"/>
  <c r="B29" i="18" s="1"/>
  <c r="B209" i="10"/>
  <c r="B213" i="10" s="1"/>
  <c r="B224" i="10"/>
  <c r="P5" i="6" s="1"/>
  <c r="H7" i="50"/>
  <c r="V5" i="4"/>
  <c r="U5" i="6"/>
  <c r="V5" i="5"/>
  <c r="R5" i="4"/>
  <c r="Q5" i="6"/>
  <c r="R5" i="5"/>
  <c r="U5" i="4"/>
  <c r="T5" i="6"/>
  <c r="U5" i="5"/>
  <c r="X5" i="4"/>
  <c r="W5" i="6"/>
  <c r="X5" i="5"/>
  <c r="P5" i="5"/>
  <c r="P5" i="4"/>
  <c r="O5" i="6"/>
  <c r="T5" i="4"/>
  <c r="S5" i="6"/>
  <c r="T5" i="5"/>
  <c r="W5" i="4"/>
  <c r="V5" i="6"/>
  <c r="W5" i="5"/>
  <c r="R5" i="6"/>
  <c r="S5" i="4"/>
  <c r="S5" i="5"/>
  <c r="F19" i="18" l="1"/>
  <c r="F29" i="18" s="1"/>
  <c r="E28" i="18"/>
  <c r="B225" i="10"/>
  <c r="R8" i="7" s="1"/>
  <c r="R16" i="7" s="1"/>
  <c r="Z16" i="7" s="1"/>
  <c r="D19" i="18"/>
  <c r="D29" i="18" s="1"/>
  <c r="Q5" i="5"/>
  <c r="C41" i="18"/>
  <c r="B52" i="18" s="1"/>
  <c r="B56" i="18" s="1"/>
  <c r="E13" i="20"/>
  <c r="E17" i="18"/>
  <c r="Q5" i="4"/>
  <c r="F41" i="18"/>
  <c r="B53" i="18" s="1"/>
  <c r="B57" i="18" s="1"/>
  <c r="T136" i="4"/>
  <c r="T131" i="4"/>
  <c r="T513" i="4"/>
  <c r="T344" i="4"/>
  <c r="T236" i="4"/>
  <c r="T259" i="4"/>
  <c r="T301" i="4"/>
  <c r="T415" i="4"/>
  <c r="T122" i="4"/>
  <c r="T542" i="4"/>
  <c r="T305" i="4"/>
  <c r="T479" i="4"/>
  <c r="T276" i="4"/>
  <c r="T509" i="4"/>
  <c r="T231" i="4"/>
  <c r="T251" i="4"/>
  <c r="T253" i="4"/>
  <c r="T541" i="4"/>
  <c r="T488" i="4"/>
  <c r="T420" i="4"/>
  <c r="T483" i="4"/>
  <c r="T531" i="4"/>
  <c r="T502" i="4"/>
  <c r="T434" i="4"/>
  <c r="T188" i="4"/>
  <c r="T80" i="4"/>
  <c r="T278" i="4"/>
  <c r="T42" i="4"/>
  <c r="T239" i="4"/>
  <c r="T52" i="4"/>
  <c r="T378" i="4"/>
  <c r="T123" i="4"/>
  <c r="T316" i="4"/>
  <c r="T375" i="4"/>
  <c r="T53" i="4"/>
  <c r="T337" i="4"/>
  <c r="T206" i="4"/>
  <c r="T413" i="4"/>
  <c r="T426" i="4"/>
  <c r="T125" i="4"/>
  <c r="T525" i="4"/>
  <c r="T107" i="4"/>
  <c r="T555" i="4"/>
  <c r="T62" i="4"/>
  <c r="T376" i="4"/>
  <c r="T487" i="4"/>
  <c r="T365" i="4"/>
  <c r="T360" i="4"/>
  <c r="T225" i="4"/>
  <c r="T47" i="4"/>
  <c r="T25" i="4"/>
  <c r="T86" i="4"/>
  <c r="T262" i="4"/>
  <c r="T261" i="4"/>
  <c r="T341" i="4"/>
  <c r="T400" i="4"/>
  <c r="T446" i="4"/>
  <c r="T143" i="4"/>
  <c r="T480" i="4"/>
  <c r="T284" i="4"/>
  <c r="T441" i="4"/>
  <c r="T352" i="4"/>
  <c r="T75" i="4"/>
  <c r="T265" i="4"/>
  <c r="T447" i="4"/>
  <c r="T512" i="4"/>
  <c r="T84" i="4"/>
  <c r="T462" i="4"/>
  <c r="T395" i="4"/>
  <c r="T279" i="4"/>
  <c r="T252" i="4"/>
  <c r="T327" i="4"/>
  <c r="T176" i="4"/>
  <c r="T452" i="4"/>
  <c r="T329" i="4"/>
  <c r="T549" i="4"/>
  <c r="T373" i="4"/>
  <c r="T144" i="4"/>
  <c r="T238" i="4"/>
  <c r="T357" i="4"/>
  <c r="T15" i="4"/>
  <c r="T106" i="4"/>
  <c r="T548" i="4"/>
  <c r="T9" i="4"/>
  <c r="T111" i="4"/>
  <c r="T475" i="4"/>
  <c r="T326" i="4"/>
  <c r="T425" i="4"/>
  <c r="T13" i="4"/>
  <c r="T96" i="4"/>
  <c r="T320" i="4"/>
  <c r="T381" i="4"/>
  <c r="T112" i="4"/>
  <c r="T510" i="4"/>
  <c r="T66" i="4"/>
  <c r="T114" i="4"/>
  <c r="T27" i="4"/>
  <c r="T94" i="4"/>
  <c r="T440" i="4"/>
  <c r="T476" i="4"/>
  <c r="T196" i="4"/>
  <c r="T95" i="4"/>
  <c r="T281" i="4"/>
  <c r="T207" i="4"/>
  <c r="T529" i="4"/>
  <c r="T270" i="4"/>
  <c r="T535" i="4"/>
  <c r="T470" i="4"/>
  <c r="T117" i="4"/>
  <c r="T380" i="4"/>
  <c r="T280" i="4"/>
  <c r="T224" i="4"/>
  <c r="T244" i="4"/>
  <c r="T302" i="4"/>
  <c r="T505" i="4"/>
  <c r="T108" i="4"/>
  <c r="T501" i="4"/>
  <c r="T523" i="4"/>
  <c r="T396" i="4"/>
  <c r="T410" i="4"/>
  <c r="T37" i="4"/>
  <c r="T174" i="4"/>
  <c r="T526" i="4"/>
  <c r="T557" i="4"/>
  <c r="T366" i="4"/>
  <c r="T536" i="4"/>
  <c r="T293" i="4"/>
  <c r="T321" i="4"/>
  <c r="T520" i="4"/>
  <c r="T472" i="4"/>
  <c r="T517" i="4"/>
  <c r="T102" i="4"/>
  <c r="T195" i="4"/>
  <c r="T399" i="4"/>
  <c r="T142" i="4"/>
  <c r="T481" i="4"/>
  <c r="T50" i="4"/>
  <c r="T43" i="4"/>
  <c r="T455" i="4"/>
  <c r="T173" i="4"/>
  <c r="T153" i="4"/>
  <c r="T518" i="4"/>
  <c r="T150" i="4"/>
  <c r="T246" i="4"/>
  <c r="T87" i="4"/>
  <c r="T74" i="4"/>
  <c r="T527" i="4"/>
  <c r="T93" i="4"/>
  <c r="T534" i="4"/>
  <c r="T332" i="4"/>
  <c r="T554" i="4"/>
  <c r="T511" i="4"/>
  <c r="T543" i="4"/>
  <c r="T232" i="4"/>
  <c r="T258" i="4"/>
  <c r="T437" i="4"/>
  <c r="T172" i="4"/>
  <c r="T519" i="4"/>
  <c r="T68" i="4"/>
  <c r="T134" i="4"/>
  <c r="T57" i="4"/>
  <c r="T460" i="4"/>
  <c r="T471" i="4"/>
  <c r="T230" i="4"/>
  <c r="T336" i="4"/>
  <c r="T358" i="4"/>
  <c r="T431" i="4"/>
  <c r="T364" i="4"/>
  <c r="T54" i="4"/>
  <c r="T546" i="4"/>
  <c r="T459" i="4"/>
  <c r="T408" i="4"/>
  <c r="T60" i="4"/>
  <c r="T200" i="4"/>
  <c r="T553" i="4"/>
  <c r="T185" i="4"/>
  <c r="T78" i="4"/>
  <c r="T220" i="4"/>
  <c r="T91" i="4"/>
  <c r="T350" i="4"/>
  <c r="T540" i="4"/>
  <c r="T162" i="4"/>
  <c r="T406" i="4"/>
  <c r="T145" i="4"/>
  <c r="T368" i="4"/>
  <c r="T22" i="4"/>
  <c r="T328" i="4"/>
  <c r="T491" i="4"/>
  <c r="T204" i="4"/>
  <c r="T32" i="4"/>
  <c r="T299" i="4"/>
  <c r="T240" i="4"/>
  <c r="T113" i="4"/>
  <c r="T70" i="4"/>
  <c r="T177" i="4"/>
  <c r="T417" i="4"/>
  <c r="T257" i="4"/>
  <c r="T263" i="4"/>
  <c r="T245" i="4"/>
  <c r="T163" i="4"/>
  <c r="T444" i="4"/>
  <c r="T295" i="4"/>
  <c r="T256" i="4"/>
  <c r="T339" i="4"/>
  <c r="T29" i="4"/>
  <c r="T165" i="4"/>
  <c r="T180" i="4"/>
  <c r="T234" i="4"/>
  <c r="T271" i="4"/>
  <c r="T26" i="4"/>
  <c r="T508" i="4"/>
  <c r="T312" i="4"/>
  <c r="T103" i="4"/>
  <c r="T419" i="4"/>
  <c r="T445" i="4"/>
  <c r="T516" i="4"/>
  <c r="T85" i="4"/>
  <c r="T127" i="4"/>
  <c r="T499" i="4"/>
  <c r="T304" i="4"/>
  <c r="T193" i="4"/>
  <c r="T186" i="4"/>
  <c r="T227" i="4"/>
  <c r="T387" i="4"/>
  <c r="T269" i="4"/>
  <c r="T115" i="4"/>
  <c r="T190" i="4"/>
  <c r="T551" i="4"/>
  <c r="T477" i="4"/>
  <c r="T73" i="4"/>
  <c r="T33" i="4"/>
  <c r="T532" i="4"/>
  <c r="T494" i="4"/>
  <c r="T466" i="4"/>
  <c r="T38" i="4"/>
  <c r="T298" i="4"/>
  <c r="T384" i="4"/>
  <c r="T168" i="4"/>
  <c r="T274" i="4"/>
  <c r="T167" i="4"/>
  <c r="T355" i="4"/>
  <c r="T367" i="4"/>
  <c r="T61" i="4"/>
  <c r="T538" i="4"/>
  <c r="T197" i="4"/>
  <c r="T306" i="4"/>
  <c r="T67" i="4"/>
  <c r="T451" i="4"/>
  <c r="T342" i="4"/>
  <c r="T81" i="4"/>
  <c r="T12" i="4"/>
  <c r="T371" i="4"/>
  <c r="T347" i="4"/>
  <c r="T362" i="4"/>
  <c r="T140" i="4"/>
  <c r="T233" i="4"/>
  <c r="T223" i="4"/>
  <c r="T330" i="4"/>
  <c r="T429" i="4"/>
  <c r="T345" i="4"/>
  <c r="T241" i="4"/>
  <c r="T199" i="4"/>
  <c r="T333" i="4"/>
  <c r="T282" i="4"/>
  <c r="T388" i="4"/>
  <c r="T385" i="4"/>
  <c r="T214" i="4"/>
  <c r="T28" i="4"/>
  <c r="T194" i="4"/>
  <c r="T464" i="4"/>
  <c r="T266" i="4"/>
  <c r="T504" i="4"/>
  <c r="T158" i="4"/>
  <c r="T160" i="4"/>
  <c r="T343" i="4"/>
  <c r="T349" i="4"/>
  <c r="T148" i="4"/>
  <c r="T133" i="4"/>
  <c r="T175" i="4"/>
  <c r="T290" i="4"/>
  <c r="T218" i="4"/>
  <c r="T421" i="4"/>
  <c r="T92" i="4"/>
  <c r="T392" i="4"/>
  <c r="T128" i="4"/>
  <c r="T99" i="4"/>
  <c r="T514" i="4"/>
  <c r="T552" i="4"/>
  <c r="T205" i="4"/>
  <c r="T184" i="4"/>
  <c r="T198" i="4"/>
  <c r="T97" i="4"/>
  <c r="T351" i="4"/>
  <c r="T334" i="4"/>
  <c r="T88" i="4"/>
  <c r="T463" i="4"/>
  <c r="T348" i="4"/>
  <c r="T166" i="4"/>
  <c r="T318" i="4"/>
  <c r="T152" i="4"/>
  <c r="T202" i="4"/>
  <c r="T208" i="4"/>
  <c r="T48" i="4"/>
  <c r="T448" i="4"/>
  <c r="T260" i="4"/>
  <c r="T432" i="4"/>
  <c r="T449" i="4"/>
  <c r="T179" i="4"/>
  <c r="T65" i="4"/>
  <c r="T289" i="4"/>
  <c r="T389" i="4"/>
  <c r="T11" i="4"/>
  <c r="T243" i="4"/>
  <c r="T58" i="4"/>
  <c r="T288" i="4"/>
  <c r="T141" i="4"/>
  <c r="T171" i="4"/>
  <c r="T63" i="4"/>
  <c r="T353" i="4"/>
  <c r="T423" i="4"/>
  <c r="T255" i="4"/>
  <c r="T315" i="4"/>
  <c r="T340" i="4"/>
  <c r="T149" i="4"/>
  <c r="T55" i="4"/>
  <c r="T545" i="4"/>
  <c r="T155" i="4"/>
  <c r="T264" i="4"/>
  <c r="T72" i="4"/>
  <c r="T157" i="4"/>
  <c r="T286" i="4"/>
  <c r="T411" i="4"/>
  <c r="T453" i="4"/>
  <c r="T135" i="4"/>
  <c r="T457" i="4"/>
  <c r="T331" i="4"/>
  <c r="T473" i="4"/>
  <c r="T313" i="4"/>
  <c r="T414" i="4"/>
  <c r="T46" i="4"/>
  <c r="T397" i="4"/>
  <c r="T76" i="4"/>
  <c r="T335" i="4"/>
  <c r="T300" i="4"/>
  <c r="T393" i="4"/>
  <c r="T465" i="4"/>
  <c r="T482" i="4"/>
  <c r="T442" i="4"/>
  <c r="T317" i="4"/>
  <c r="T119" i="4"/>
  <c r="T159" i="4"/>
  <c r="T458" i="4"/>
  <c r="T416" i="4"/>
  <c r="T268" i="4"/>
  <c r="T248" i="4"/>
  <c r="T71" i="4"/>
  <c r="T438" i="4"/>
  <c r="T309" i="4"/>
  <c r="T14" i="4"/>
  <c r="T283" i="4"/>
  <c r="T497" i="4"/>
  <c r="T506" i="4"/>
  <c r="T23" i="4"/>
  <c r="T467" i="4"/>
  <c r="T170" i="4"/>
  <c r="T547" i="4"/>
  <c r="T443" i="4"/>
  <c r="T469" i="4"/>
  <c r="T374" i="4"/>
  <c r="T391" i="4"/>
  <c r="T110" i="4"/>
  <c r="T178" i="4"/>
  <c r="T311" i="4"/>
  <c r="T34" i="4"/>
  <c r="T436" i="4"/>
  <c r="T89" i="4"/>
  <c r="T433" i="4"/>
  <c r="T105" i="4"/>
  <c r="T323" i="4"/>
  <c r="T77" i="4"/>
  <c r="T297" i="4"/>
  <c r="T498" i="4"/>
  <c r="T398" i="4"/>
  <c r="T189" i="4"/>
  <c r="T450" i="4"/>
  <c r="T272" i="4"/>
  <c r="T64" i="4"/>
  <c r="T461" i="4"/>
  <c r="T404" i="4"/>
  <c r="T418" i="4"/>
  <c r="T495" i="4"/>
  <c r="T361" i="4"/>
  <c r="T126" i="4"/>
  <c r="T101" i="4"/>
  <c r="T235" i="4"/>
  <c r="T118" i="4"/>
  <c r="T363" i="4"/>
  <c r="T322" i="4"/>
  <c r="T486" i="4"/>
  <c r="T39" i="4"/>
  <c r="T539" i="4"/>
  <c r="T169" i="4"/>
  <c r="T51" i="4"/>
  <c r="T390" i="4"/>
  <c r="T90" i="4"/>
  <c r="T247" i="4"/>
  <c r="T556" i="4"/>
  <c r="T201" i="4"/>
  <c r="T30" i="4"/>
  <c r="T44" i="4"/>
  <c r="T503" i="4"/>
  <c r="T146" i="4"/>
  <c r="T474" i="4"/>
  <c r="T215" i="4"/>
  <c r="T18" i="4"/>
  <c r="T156" i="4"/>
  <c r="T422" i="4"/>
  <c r="T98" i="4"/>
  <c r="T427" i="4"/>
  <c r="T310" i="4"/>
  <c r="T219" i="4"/>
  <c r="T454" i="4"/>
  <c r="T294" i="4"/>
  <c r="T308" i="4"/>
  <c r="T45" i="4"/>
  <c r="T412" i="4"/>
  <c r="T138" i="4"/>
  <c r="T203" i="4"/>
  <c r="T164" i="4"/>
  <c r="T492" i="4"/>
  <c r="T533" i="4"/>
  <c r="T287" i="4"/>
  <c r="T154" i="4"/>
  <c r="T151" i="4"/>
  <c r="T537" i="4"/>
  <c r="T484" i="4"/>
  <c r="T221" i="4"/>
  <c r="T121" i="4"/>
  <c r="T468" i="4"/>
  <c r="T307" i="4"/>
  <c r="T120" i="4"/>
  <c r="T489" i="4"/>
  <c r="T382" i="4"/>
  <c r="T303" i="4"/>
  <c r="T409" i="4"/>
  <c r="T161" i="4"/>
  <c r="T109" i="4"/>
  <c r="T372" i="4"/>
  <c r="T212" i="4"/>
  <c r="T137" i="4"/>
  <c r="T370" i="4"/>
  <c r="T354" i="4"/>
  <c r="T124" i="4"/>
  <c r="T273" i="4"/>
  <c r="T191" i="4"/>
  <c r="T132" i="4"/>
  <c r="T79" i="4"/>
  <c r="T82" i="4"/>
  <c r="T40" i="4"/>
  <c r="T41" i="4"/>
  <c r="T250" i="4"/>
  <c r="T35" i="4"/>
  <c r="T56" i="4"/>
  <c r="T369" i="4"/>
  <c r="T19" i="4"/>
  <c r="T379" i="4"/>
  <c r="T528" i="4"/>
  <c r="T100" i="4"/>
  <c r="T359" i="4"/>
  <c r="T16" i="4"/>
  <c r="T129" i="4"/>
  <c r="T490" i="4"/>
  <c r="T377" i="4"/>
  <c r="T20" i="4"/>
  <c r="T17" i="4"/>
  <c r="T275" i="4"/>
  <c r="T187" i="4"/>
  <c r="T493" i="4"/>
  <c r="T181" i="4"/>
  <c r="T428" i="4"/>
  <c r="T182" i="4"/>
  <c r="T405" i="4"/>
  <c r="T346" i="4"/>
  <c r="T192" i="4"/>
  <c r="T544" i="4"/>
  <c r="T325" i="4"/>
  <c r="T435" i="4"/>
  <c r="T31" i="4"/>
  <c r="T324" i="4"/>
  <c r="T524" i="4"/>
  <c r="T24" i="4"/>
  <c r="T277" i="4"/>
  <c r="T292" i="4"/>
  <c r="T104" i="4"/>
  <c r="T229" i="4"/>
  <c r="T314" i="4"/>
  <c r="T237" i="4"/>
  <c r="T522" i="4"/>
  <c r="T254" i="4"/>
  <c r="T386" i="4"/>
  <c r="T285" i="4"/>
  <c r="T383" i="4"/>
  <c r="T521" i="4"/>
  <c r="T8" i="4"/>
  <c r="T10" i="4"/>
  <c r="T139" i="4"/>
  <c r="T530" i="4"/>
  <c r="T439" i="4"/>
  <c r="T116" i="4"/>
  <c r="T228" i="4"/>
  <c r="T407" i="4"/>
  <c r="T424" i="4"/>
  <c r="T550" i="4"/>
  <c r="T59" i="4"/>
  <c r="T226" i="4"/>
  <c r="T500" i="4"/>
  <c r="T291" i="4"/>
  <c r="T296" i="4"/>
  <c r="T515" i="4"/>
  <c r="T130" i="4"/>
  <c r="T211" i="4"/>
  <c r="T7" i="4"/>
  <c r="T83" i="4"/>
  <c r="T213" i="4"/>
  <c r="T430" i="4"/>
  <c r="T507" i="4"/>
  <c r="T210" i="4"/>
  <c r="T49" i="4"/>
  <c r="T209" i="4"/>
  <c r="T401" i="4"/>
  <c r="T403" i="4"/>
  <c r="T478" i="4"/>
  <c r="T242" i="4"/>
  <c r="T402" i="4"/>
  <c r="T249" i="4"/>
  <c r="T183" i="4"/>
  <c r="T394" i="4"/>
  <c r="T319" i="4"/>
  <c r="T222" i="4"/>
  <c r="T456" i="4"/>
  <c r="T338" i="4"/>
  <c r="T216" i="4"/>
  <c r="T485" i="4"/>
  <c r="T496" i="4"/>
  <c r="T36" i="4"/>
  <c r="T356" i="4"/>
  <c r="T147" i="4"/>
  <c r="T21" i="4"/>
  <c r="T267" i="4"/>
  <c r="T217" i="4"/>
  <c r="T69" i="4"/>
  <c r="P153" i="4"/>
  <c r="P369" i="4"/>
  <c r="P368" i="4"/>
  <c r="P324" i="4"/>
  <c r="P29" i="4"/>
  <c r="P354" i="4"/>
  <c r="P260" i="4"/>
  <c r="P101" i="4"/>
  <c r="P148" i="4"/>
  <c r="P464" i="4"/>
  <c r="P13" i="4"/>
  <c r="P118" i="4"/>
  <c r="P27" i="4"/>
  <c r="P126" i="4"/>
  <c r="P313" i="4"/>
  <c r="P554" i="4"/>
  <c r="P452" i="4"/>
  <c r="P238" i="4"/>
  <c r="P141" i="4"/>
  <c r="P9" i="4"/>
  <c r="P273" i="4"/>
  <c r="P276" i="4"/>
  <c r="P460" i="4"/>
  <c r="P223" i="4"/>
  <c r="P181" i="4"/>
  <c r="P503" i="4"/>
  <c r="P493" i="4"/>
  <c r="P355" i="4"/>
  <c r="P469" i="4"/>
  <c r="P287" i="4"/>
  <c r="P284" i="4"/>
  <c r="P290" i="4"/>
  <c r="P342" i="4"/>
  <c r="P439" i="4"/>
  <c r="P261" i="4"/>
  <c r="P480" i="4"/>
  <c r="P449" i="4"/>
  <c r="P133" i="4"/>
  <c r="P270" i="4"/>
  <c r="P531" i="4"/>
  <c r="P14" i="4"/>
  <c r="P221" i="4"/>
  <c r="P297" i="4"/>
  <c r="P372" i="4"/>
  <c r="P526" i="4"/>
  <c r="P271" i="4"/>
  <c r="P268" i="4"/>
  <c r="P409" i="4"/>
  <c r="P125" i="4"/>
  <c r="P100" i="4"/>
  <c r="P103" i="4"/>
  <c r="P517" i="4"/>
  <c r="P375" i="4"/>
  <c r="P406" i="4"/>
  <c r="P78" i="4"/>
  <c r="P360" i="4"/>
  <c r="P329" i="4"/>
  <c r="P550" i="4"/>
  <c r="P505" i="4"/>
  <c r="P159" i="4"/>
  <c r="P158" i="4"/>
  <c r="P40" i="4"/>
  <c r="P490" i="4"/>
  <c r="P253" i="4"/>
  <c r="P252" i="4"/>
  <c r="P366" i="4"/>
  <c r="P109" i="4"/>
  <c r="P431" i="4"/>
  <c r="P476" i="4"/>
  <c r="P154" i="4"/>
  <c r="P534" i="4"/>
  <c r="P470" i="4"/>
  <c r="P111" i="4"/>
  <c r="P225" i="4"/>
  <c r="P272" i="4"/>
  <c r="P457" i="4"/>
  <c r="P497" i="4"/>
  <c r="P81" i="4"/>
  <c r="P161" i="4"/>
  <c r="P30" i="4"/>
  <c r="P149" i="4"/>
  <c r="P549" i="4"/>
  <c r="P94" i="4"/>
  <c r="P90" i="4"/>
  <c r="P395" i="4"/>
  <c r="P382" i="4"/>
  <c r="P102" i="4"/>
  <c r="P539" i="4"/>
  <c r="P215" i="4"/>
  <c r="P380" i="4"/>
  <c r="P320" i="4"/>
  <c r="P52" i="4"/>
  <c r="P239" i="4"/>
  <c r="P506" i="4"/>
  <c r="P171" i="4"/>
  <c r="P71" i="4"/>
  <c r="P56" i="4"/>
  <c r="P529" i="4"/>
  <c r="P15" i="4"/>
  <c r="P421" i="4"/>
  <c r="P448" i="4"/>
  <c r="P131" i="4"/>
  <c r="P419" i="4"/>
  <c r="P322" i="4"/>
  <c r="P258" i="4"/>
  <c r="P244" i="4"/>
  <c r="P75" i="4"/>
  <c r="P345" i="4"/>
  <c r="P486" i="4"/>
  <c r="P391" i="4"/>
  <c r="P328" i="4"/>
  <c r="P234" i="4"/>
  <c r="P28" i="4"/>
  <c r="P318" i="4"/>
  <c r="P166" i="4"/>
  <c r="P295" i="4"/>
  <c r="P231" i="4"/>
  <c r="P414" i="4"/>
  <c r="P127" i="4"/>
  <c r="P151" i="4"/>
  <c r="P70" i="4"/>
  <c r="P82" i="4"/>
  <c r="P150" i="4"/>
  <c r="P219" i="4"/>
  <c r="P462" i="4"/>
  <c r="P196" i="4"/>
  <c r="P263" i="4"/>
  <c r="P248" i="4"/>
  <c r="P341" i="4"/>
  <c r="P257" i="4"/>
  <c r="P39" i="4"/>
  <c r="P502" i="4"/>
  <c r="P523" i="4"/>
  <c r="P533" i="4"/>
  <c r="P302" i="4"/>
  <c r="P72" i="4"/>
  <c r="P358" i="4"/>
  <c r="P48" i="4"/>
  <c r="P308" i="4"/>
  <c r="P317" i="4"/>
  <c r="P344" i="4"/>
  <c r="P484" i="4"/>
  <c r="P352" i="4"/>
  <c r="P217" i="4"/>
  <c r="P42" i="4"/>
  <c r="P346" i="4"/>
  <c r="P396" i="4"/>
  <c r="P468" i="4"/>
  <c r="P169" i="4"/>
  <c r="P87" i="4"/>
  <c r="P180" i="4"/>
  <c r="P374" i="4"/>
  <c r="P136" i="4"/>
  <c r="P504" i="4"/>
  <c r="P179" i="4"/>
  <c r="P418" i="4"/>
  <c r="P199" i="4"/>
  <c r="P445" i="4"/>
  <c r="P388" i="4"/>
  <c r="P541" i="4"/>
  <c r="P537" i="4"/>
  <c r="P174" i="4"/>
  <c r="P367" i="4"/>
  <c r="P63" i="4"/>
  <c r="P283" i="4"/>
  <c r="P112" i="4"/>
  <c r="P294" i="4"/>
  <c r="P164" i="4"/>
  <c r="P525" i="4"/>
  <c r="P424" i="4"/>
  <c r="P77" i="4"/>
  <c r="P172" i="4"/>
  <c r="P492" i="4"/>
  <c r="P475" i="4"/>
  <c r="P19" i="4"/>
  <c r="P207" i="4"/>
  <c r="P298" i="4"/>
  <c r="P397" i="4"/>
  <c r="P362" i="4"/>
  <c r="P146" i="4"/>
  <c r="P437" i="4"/>
  <c r="P442" i="4"/>
  <c r="P97" i="4"/>
  <c r="P203" i="4"/>
  <c r="P512" i="4"/>
  <c r="P224" i="4"/>
  <c r="P336" i="4"/>
  <c r="P378" i="4"/>
  <c r="P191" i="4"/>
  <c r="P220" i="4"/>
  <c r="P117" i="4"/>
  <c r="P178" i="4"/>
  <c r="P105" i="4"/>
  <c r="P447" i="4"/>
  <c r="P91" i="4"/>
  <c r="P415" i="4"/>
  <c r="P422" i="4"/>
  <c r="P61" i="4"/>
  <c r="P350" i="4"/>
  <c r="P99" i="4"/>
  <c r="P335" i="4"/>
  <c r="P553" i="4"/>
  <c r="P129" i="4"/>
  <c r="P230" i="4"/>
  <c r="P170" i="4"/>
  <c r="P331" i="4"/>
  <c r="P68" i="4"/>
  <c r="P303" i="4"/>
  <c r="P37" i="4"/>
  <c r="P513" i="4"/>
  <c r="P119" i="4"/>
  <c r="P51" i="4"/>
  <c r="P461" i="4"/>
  <c r="P84" i="4"/>
  <c r="P269" i="4"/>
  <c r="P135" i="4"/>
  <c r="P195" i="4"/>
  <c r="P556" i="4"/>
  <c r="P373" i="4"/>
  <c r="P501" i="4"/>
  <c r="P208" i="4"/>
  <c r="P416" i="4"/>
  <c r="P450" i="4"/>
  <c r="P392" i="4"/>
  <c r="P411" i="4"/>
  <c r="P454" i="4"/>
  <c r="P498" i="4"/>
  <c r="P390" i="4"/>
  <c r="P547" i="4"/>
  <c r="P440" i="4"/>
  <c r="P487" i="4"/>
  <c r="P201" i="4"/>
  <c r="P274" i="4"/>
  <c r="P357" i="4"/>
  <c r="P528" i="4"/>
  <c r="P545" i="4"/>
  <c r="P434" i="4"/>
  <c r="P120" i="4"/>
  <c r="P21" i="4"/>
  <c r="P156" i="4"/>
  <c r="P124" i="4"/>
  <c r="P34" i="4"/>
  <c r="P177" i="4"/>
  <c r="P441" i="4"/>
  <c r="P509" i="4"/>
  <c r="P410" i="4"/>
  <c r="P44" i="4"/>
  <c r="P278" i="4"/>
  <c r="P459" i="4"/>
  <c r="P463" i="4"/>
  <c r="P233" i="4"/>
  <c r="P98" i="4"/>
  <c r="P152" i="4"/>
  <c r="P25" i="4"/>
  <c r="P66" i="4"/>
  <c r="P405" i="4"/>
  <c r="P186" i="4"/>
  <c r="P479" i="4"/>
  <c r="P552" i="4"/>
  <c r="P453" i="4"/>
  <c r="P143" i="4"/>
  <c r="P340" i="4"/>
  <c r="P518" i="4"/>
  <c r="P555" i="4"/>
  <c r="P173" i="4"/>
  <c r="P458" i="4"/>
  <c r="P57" i="4"/>
  <c r="P527" i="4"/>
  <c r="P187" i="4"/>
  <c r="P330" i="4"/>
  <c r="P281" i="4"/>
  <c r="P363" i="4"/>
  <c r="P160" i="4"/>
  <c r="P79" i="4"/>
  <c r="P206" i="4"/>
  <c r="P301" i="4"/>
  <c r="P543" i="4"/>
  <c r="P288" i="4"/>
  <c r="P73" i="4"/>
  <c r="P473" i="4"/>
  <c r="P377" i="4"/>
  <c r="P122" i="4"/>
  <c r="P194" i="4"/>
  <c r="P85" i="4"/>
  <c r="P306" i="4"/>
  <c r="P385" i="4"/>
  <c r="P137" i="4"/>
  <c r="P404" i="4"/>
  <c r="P508" i="4"/>
  <c r="P38" i="4"/>
  <c r="P202" i="4"/>
  <c r="P370" i="4"/>
  <c r="P299" i="4"/>
  <c r="P532" i="4"/>
  <c r="P17" i="4"/>
  <c r="P361" i="4"/>
  <c r="P64" i="4"/>
  <c r="P107" i="4"/>
  <c r="P444" i="4"/>
  <c r="P494" i="4"/>
  <c r="P35" i="4"/>
  <c r="P74" i="4"/>
  <c r="P483" i="4"/>
  <c r="P491" i="4"/>
  <c r="P282" i="4"/>
  <c r="P364" i="4"/>
  <c r="P212" i="4"/>
  <c r="P423" i="4"/>
  <c r="P43" i="4"/>
  <c r="P132" i="4"/>
  <c r="P175" i="4"/>
  <c r="P26" i="4"/>
  <c r="P134" i="4"/>
  <c r="P205" i="4"/>
  <c r="P433" i="4"/>
  <c r="P50" i="4"/>
  <c r="P387" i="4"/>
  <c r="P106" i="4"/>
  <c r="P76" i="4"/>
  <c r="P243" i="4"/>
  <c r="P11" i="4"/>
  <c r="P45" i="4"/>
  <c r="P332" i="4"/>
  <c r="P413" i="4"/>
  <c r="P312" i="4"/>
  <c r="P227" i="4"/>
  <c r="P546" i="4"/>
  <c r="P92" i="4"/>
  <c r="P96" i="4"/>
  <c r="P365" i="4"/>
  <c r="P519" i="4"/>
  <c r="P89" i="4"/>
  <c r="P412" i="4"/>
  <c r="P41" i="4"/>
  <c r="P46" i="4"/>
  <c r="P446" i="4"/>
  <c r="P467" i="4"/>
  <c r="P235" i="4"/>
  <c r="P189" i="4"/>
  <c r="P62" i="4"/>
  <c r="P114" i="4"/>
  <c r="P471" i="4"/>
  <c r="P249" i="4"/>
  <c r="P58" i="4"/>
  <c r="P393" i="4"/>
  <c r="P516" i="4"/>
  <c r="P279" i="4"/>
  <c r="P540" i="4"/>
  <c r="P520" i="4"/>
  <c r="P266" i="4"/>
  <c r="P305" i="4"/>
  <c r="P339" i="4"/>
  <c r="P286" i="4"/>
  <c r="P47" i="4"/>
  <c r="P176" i="4"/>
  <c r="P538" i="4"/>
  <c r="P155" i="4"/>
  <c r="P185" i="4"/>
  <c r="P315" i="4"/>
  <c r="P88" i="4"/>
  <c r="P316" i="4"/>
  <c r="P417" i="4"/>
  <c r="P259" i="4"/>
  <c r="P384" i="4"/>
  <c r="P400" i="4"/>
  <c r="P265" i="4"/>
  <c r="P218" i="4"/>
  <c r="P398" i="4"/>
  <c r="P481" i="4"/>
  <c r="P472" i="4"/>
  <c r="P337" i="4"/>
  <c r="P54" i="4"/>
  <c r="P23" i="4"/>
  <c r="P115" i="4"/>
  <c r="P280" i="4"/>
  <c r="P514" i="4"/>
  <c r="P32" i="4"/>
  <c r="P255" i="4"/>
  <c r="P427" i="4"/>
  <c r="P455" i="4"/>
  <c r="P247" i="4"/>
  <c r="P197" i="4"/>
  <c r="P22" i="4"/>
  <c r="P121" i="4"/>
  <c r="P16" i="4"/>
  <c r="P311" i="4"/>
  <c r="P348" i="4"/>
  <c r="P267" i="4"/>
  <c r="P548" i="4"/>
  <c r="P557" i="4"/>
  <c r="P188" i="4"/>
  <c r="P551" i="4"/>
  <c r="P425" i="4"/>
  <c r="P389" i="4"/>
  <c r="P110" i="4"/>
  <c r="P451" i="4"/>
  <c r="P351" i="4"/>
  <c r="P256" i="4"/>
  <c r="P420" i="4"/>
  <c r="P495" i="4"/>
  <c r="P438" i="4"/>
  <c r="P304" i="4"/>
  <c r="P343" i="4"/>
  <c r="P113" i="4"/>
  <c r="P163" i="4"/>
  <c r="P250" i="4"/>
  <c r="P65" i="4"/>
  <c r="P542" i="4"/>
  <c r="P307" i="4"/>
  <c r="P408" i="4"/>
  <c r="P443" i="4"/>
  <c r="P511" i="4"/>
  <c r="P488" i="4"/>
  <c r="P157" i="4"/>
  <c r="P323" i="4"/>
  <c r="P53" i="4"/>
  <c r="P190" i="4"/>
  <c r="P466" i="4"/>
  <c r="P264" i="4"/>
  <c r="P429" i="4"/>
  <c r="P214" i="4"/>
  <c r="P289" i="4"/>
  <c r="P33" i="4"/>
  <c r="P432" i="4"/>
  <c r="P465" i="4"/>
  <c r="P67" i="4"/>
  <c r="P499" i="4"/>
  <c r="P245" i="4"/>
  <c r="P165" i="4"/>
  <c r="P251" i="4"/>
  <c r="P321" i="4"/>
  <c r="P246" i="4"/>
  <c r="P381" i="4"/>
  <c r="P326" i="4"/>
  <c r="P327" i="4"/>
  <c r="P162" i="4"/>
  <c r="P86" i="4"/>
  <c r="P236" i="4"/>
  <c r="P123" i="4"/>
  <c r="P353" i="4"/>
  <c r="P510" i="4"/>
  <c r="P482" i="4"/>
  <c r="P334" i="4"/>
  <c r="P376" i="4"/>
  <c r="P142" i="4"/>
  <c r="P474" i="4"/>
  <c r="P108" i="4"/>
  <c r="P167" i="4"/>
  <c r="P399" i="4"/>
  <c r="P293" i="4"/>
  <c r="P184" i="4"/>
  <c r="P80" i="4"/>
  <c r="P536" i="4"/>
  <c r="P379" i="4"/>
  <c r="P93" i="4"/>
  <c r="P240" i="4"/>
  <c r="P200" i="4"/>
  <c r="P138" i="4"/>
  <c r="P18" i="4"/>
  <c r="P310" i="4"/>
  <c r="P192" i="4"/>
  <c r="P371" i="4"/>
  <c r="P535" i="4"/>
  <c r="P60" i="4"/>
  <c r="P349" i="4"/>
  <c r="P140" i="4"/>
  <c r="P314" i="4"/>
  <c r="P347" i="4"/>
  <c r="P426" i="4"/>
  <c r="P237" i="4"/>
  <c r="P544" i="4"/>
  <c r="P485" i="4"/>
  <c r="P394" i="4"/>
  <c r="P522" i="4"/>
  <c r="P456" i="4"/>
  <c r="P477" i="4"/>
  <c r="P292" i="4"/>
  <c r="P521" i="4"/>
  <c r="P144" i="4"/>
  <c r="P8" i="4"/>
  <c r="P31" i="4"/>
  <c r="P430" i="4"/>
  <c r="P241" i="4"/>
  <c r="P383" i="4"/>
  <c r="P338" i="4"/>
  <c r="P49" i="4"/>
  <c r="P262" i="4"/>
  <c r="P402" i="4"/>
  <c r="P428" i="4"/>
  <c r="P333" i="4"/>
  <c r="P356" i="4"/>
  <c r="P277" i="4"/>
  <c r="P116" i="4"/>
  <c r="P254" i="4"/>
  <c r="P386" i="4"/>
  <c r="P222" i="4"/>
  <c r="P210" i="4"/>
  <c r="P10" i="4"/>
  <c r="P232" i="4"/>
  <c r="P168" i="4"/>
  <c r="P319" i="4"/>
  <c r="P401" i="4"/>
  <c r="P325" i="4"/>
  <c r="P95" i="4"/>
  <c r="P226" i="4"/>
  <c r="P524" i="4"/>
  <c r="P193" i="4"/>
  <c r="P198" i="4"/>
  <c r="P55" i="4"/>
  <c r="P242" i="4"/>
  <c r="P182" i="4"/>
  <c r="P359" i="4"/>
  <c r="P209" i="4"/>
  <c r="P12" i="4"/>
  <c r="P507" i="4"/>
  <c r="P275" i="4"/>
  <c r="P213" i="4"/>
  <c r="P296" i="4"/>
  <c r="P515" i="4"/>
  <c r="P83" i="4"/>
  <c r="P436" i="4"/>
  <c r="P478" i="4"/>
  <c r="P147" i="4"/>
  <c r="P130" i="4"/>
  <c r="P309" i="4"/>
  <c r="P183" i="4"/>
  <c r="P403" i="4"/>
  <c r="P228" i="4"/>
  <c r="P211" i="4"/>
  <c r="P216" i="4"/>
  <c r="P530" i="4"/>
  <c r="P128" i="4"/>
  <c r="P104" i="4"/>
  <c r="P407" i="4"/>
  <c r="P59" i="4"/>
  <c r="P145" i="4"/>
  <c r="P496" i="4"/>
  <c r="P7" i="4"/>
  <c r="P435" i="4"/>
  <c r="P285" i="4"/>
  <c r="P500" i="4"/>
  <c r="P291" i="4"/>
  <c r="P489" i="4"/>
  <c r="P139" i="4"/>
  <c r="P24" i="4"/>
  <c r="P204" i="4"/>
  <c r="P36" i="4"/>
  <c r="P20" i="4"/>
  <c r="P229" i="4"/>
  <c r="P69" i="4"/>
  <c r="P300" i="4"/>
  <c r="U7" i="4"/>
  <c r="U189" i="4"/>
  <c r="U215" i="4"/>
  <c r="U282" i="4"/>
  <c r="U239" i="4"/>
  <c r="U32" i="4"/>
  <c r="U188" i="4"/>
  <c r="U536" i="4"/>
  <c r="U274" i="4"/>
  <c r="U91" i="4"/>
  <c r="U531" i="4"/>
  <c r="U22" i="4"/>
  <c r="U482" i="4"/>
  <c r="U23" i="4"/>
  <c r="U318" i="4"/>
  <c r="U33" i="4"/>
  <c r="U15" i="4"/>
  <c r="U499" i="4"/>
  <c r="U363" i="4"/>
  <c r="U146" i="4"/>
  <c r="U362" i="4"/>
  <c r="U355" i="4"/>
  <c r="U42" i="4"/>
  <c r="U97" i="4"/>
  <c r="U329" i="4"/>
  <c r="U372" i="4"/>
  <c r="U39" i="4"/>
  <c r="U317" i="4"/>
  <c r="U335" i="4"/>
  <c r="U113" i="4"/>
  <c r="U205" i="4"/>
  <c r="U312" i="4"/>
  <c r="U184" i="4"/>
  <c r="U433" i="4"/>
  <c r="U115" i="4"/>
  <c r="U429" i="4"/>
  <c r="U523" i="4"/>
  <c r="U124" i="4"/>
  <c r="U62" i="4"/>
  <c r="U71" i="4"/>
  <c r="U73" i="4"/>
  <c r="U411" i="4"/>
  <c r="U334" i="4"/>
  <c r="U154" i="4"/>
  <c r="U106" i="4"/>
  <c r="U191" i="4"/>
  <c r="U339" i="4"/>
  <c r="U549" i="4"/>
  <c r="U271" i="4"/>
  <c r="U134" i="4"/>
  <c r="U180" i="4"/>
  <c r="U541" i="4"/>
  <c r="U420" i="4"/>
  <c r="U247" i="4"/>
  <c r="U364" i="4"/>
  <c r="U545" i="4"/>
  <c r="U65" i="4"/>
  <c r="U479" i="4"/>
  <c r="U289" i="4"/>
  <c r="U323" i="4"/>
  <c r="U475" i="4"/>
  <c r="U556" i="4"/>
  <c r="U422" i="4"/>
  <c r="U48" i="4"/>
  <c r="U158" i="4"/>
  <c r="U432" i="4"/>
  <c r="U551" i="4"/>
  <c r="U273" i="4"/>
  <c r="U485" i="4"/>
  <c r="U80" i="4"/>
  <c r="U458" i="4"/>
  <c r="U190" i="4"/>
  <c r="U508" i="4"/>
  <c r="U101" i="4"/>
  <c r="U166" i="4"/>
  <c r="U129" i="4"/>
  <c r="U300" i="4"/>
  <c r="U27" i="4"/>
  <c r="U409" i="4"/>
  <c r="U407" i="4"/>
  <c r="U369" i="4"/>
  <c r="U45" i="4"/>
  <c r="U552" i="4"/>
  <c r="U492" i="4"/>
  <c r="U11" i="4"/>
  <c r="U510" i="4"/>
  <c r="U288" i="4"/>
  <c r="U66" i="4"/>
  <c r="U41" i="4"/>
  <c r="U292" i="4"/>
  <c r="U477" i="4"/>
  <c r="U378" i="4"/>
  <c r="U412" i="4"/>
  <c r="U149" i="4"/>
  <c r="U79" i="4"/>
  <c r="U487" i="4"/>
  <c r="U404" i="4"/>
  <c r="U416" i="4"/>
  <c r="U481" i="4"/>
  <c r="U287" i="4"/>
  <c r="U473" i="4"/>
  <c r="U405" i="4"/>
  <c r="U295" i="4"/>
  <c r="U338" i="4"/>
  <c r="U533" i="4"/>
  <c r="U255" i="4"/>
  <c r="U360" i="4"/>
  <c r="U18" i="4"/>
  <c r="U224" i="4"/>
  <c r="U196" i="4"/>
  <c r="U111" i="4"/>
  <c r="U275" i="4"/>
  <c r="U373" i="4"/>
  <c r="U546" i="4"/>
  <c r="U494" i="4"/>
  <c r="U265" i="4"/>
  <c r="U512" i="4"/>
  <c r="U538" i="4"/>
  <c r="U310" i="4"/>
  <c r="U207" i="4"/>
  <c r="U384" i="4"/>
  <c r="U216" i="4"/>
  <c r="U388" i="4"/>
  <c r="U419" i="4"/>
  <c r="U463" i="4"/>
  <c r="U316" i="4"/>
  <c r="U414" i="4"/>
  <c r="U118" i="4"/>
  <c r="U160" i="4"/>
  <c r="U173" i="4"/>
  <c r="U244" i="4"/>
  <c r="U269" i="4"/>
  <c r="U140" i="4"/>
  <c r="U488" i="4"/>
  <c r="U342" i="4"/>
  <c r="U126" i="4"/>
  <c r="U480" i="4"/>
  <c r="U8" i="4"/>
  <c r="U555" i="4"/>
  <c r="U38" i="4"/>
  <c r="U64" i="4"/>
  <c r="U108" i="4"/>
  <c r="U28" i="4"/>
  <c r="U529" i="4"/>
  <c r="U370" i="4"/>
  <c r="U371" i="4"/>
  <c r="U46" i="4"/>
  <c r="U169" i="4"/>
  <c r="U525" i="4"/>
  <c r="U548" i="4"/>
  <c r="U102" i="4"/>
  <c r="U413" i="4"/>
  <c r="U257" i="4"/>
  <c r="U77" i="4"/>
  <c r="U539" i="4"/>
  <c r="U96" i="4"/>
  <c r="U290" i="4"/>
  <c r="U537" i="4"/>
  <c r="U442" i="4"/>
  <c r="U392" i="4"/>
  <c r="U225" i="4"/>
  <c r="U379" i="4"/>
  <c r="U199" i="4"/>
  <c r="U347" i="4"/>
  <c r="U441" i="4"/>
  <c r="U410" i="4"/>
  <c r="U16" i="4"/>
  <c r="U266" i="4"/>
  <c r="U238" i="4"/>
  <c r="U204" i="4"/>
  <c r="U476" i="4"/>
  <c r="U313" i="4"/>
  <c r="U20" i="4"/>
  <c r="U142" i="4"/>
  <c r="U272" i="4"/>
  <c r="U246" i="4"/>
  <c r="U322" i="4"/>
  <c r="U57" i="4"/>
  <c r="U348" i="4"/>
  <c r="U517" i="4"/>
  <c r="U448" i="4"/>
  <c r="U535" i="4"/>
  <c r="U186" i="4"/>
  <c r="U30" i="4"/>
  <c r="U236" i="4"/>
  <c r="U281" i="4"/>
  <c r="U399" i="4"/>
  <c r="U258" i="4"/>
  <c r="U513" i="4"/>
  <c r="U311" i="4"/>
  <c r="U349" i="4"/>
  <c r="U260" i="4"/>
  <c r="U197" i="4"/>
  <c r="U553" i="4"/>
  <c r="U107" i="4"/>
  <c r="U291" i="4"/>
  <c r="U208" i="4"/>
  <c r="U540" i="4"/>
  <c r="U25" i="4"/>
  <c r="U296" i="4"/>
  <c r="U194" i="4"/>
  <c r="U141" i="4"/>
  <c r="U86" i="4"/>
  <c r="U112" i="4"/>
  <c r="U151" i="4"/>
  <c r="U408" i="4"/>
  <c r="U182" i="4"/>
  <c r="U98" i="4"/>
  <c r="U534" i="4"/>
  <c r="U34" i="4"/>
  <c r="U94" i="4"/>
  <c r="U172" i="4"/>
  <c r="U439" i="4"/>
  <c r="U337" i="4"/>
  <c r="U156" i="4"/>
  <c r="U81" i="4"/>
  <c r="U110" i="4"/>
  <c r="U304" i="4"/>
  <c r="U135" i="4"/>
  <c r="U232" i="4"/>
  <c r="U249" i="4"/>
  <c r="U352" i="4"/>
  <c r="U87" i="4"/>
  <c r="U78" i="4"/>
  <c r="U58" i="4"/>
  <c r="U468" i="4"/>
  <c r="U242" i="4"/>
  <c r="U453" i="4"/>
  <c r="U233" i="4"/>
  <c r="U511" i="4"/>
  <c r="U252" i="4"/>
  <c r="U159" i="4"/>
  <c r="U177" i="4"/>
  <c r="U93" i="4"/>
  <c r="U148" i="4"/>
  <c r="U455" i="4"/>
  <c r="U333" i="4"/>
  <c r="U179" i="4"/>
  <c r="U145" i="4"/>
  <c r="U67" i="4"/>
  <c r="U163" i="4"/>
  <c r="U217" i="4"/>
  <c r="U309" i="4"/>
  <c r="U353" i="4"/>
  <c r="U454" i="4"/>
  <c r="U165" i="4"/>
  <c r="U157" i="4"/>
  <c r="U268" i="4"/>
  <c r="U391" i="4"/>
  <c r="U171" i="4"/>
  <c r="U127" i="4"/>
  <c r="U202" i="4"/>
  <c r="U324" i="4"/>
  <c r="U431" i="4"/>
  <c r="U390" i="4"/>
  <c r="U344" i="4"/>
  <c r="U427" i="4"/>
  <c r="U167" i="4"/>
  <c r="U26" i="4"/>
  <c r="U467" i="4"/>
  <c r="U278" i="4"/>
  <c r="U397" i="4"/>
  <c r="U506" i="4"/>
  <c r="U498" i="4"/>
  <c r="U493" i="4"/>
  <c r="U51" i="4"/>
  <c r="U284" i="4"/>
  <c r="U70" i="4"/>
  <c r="U248" i="4"/>
  <c r="U457" i="4"/>
  <c r="U483" i="4"/>
  <c r="U542" i="4"/>
  <c r="U320" i="4"/>
  <c r="U116" i="4"/>
  <c r="U131" i="4"/>
  <c r="U461" i="4"/>
  <c r="U516" i="4"/>
  <c r="U456" i="4"/>
  <c r="U357" i="4"/>
  <c r="U465" i="4"/>
  <c r="U206" i="4"/>
  <c r="U214" i="4"/>
  <c r="U532" i="4"/>
  <c r="U515" i="4"/>
  <c r="U294" i="4"/>
  <c r="U443" i="4"/>
  <c r="U40" i="4"/>
  <c r="U56" i="4"/>
  <c r="U61" i="4"/>
  <c r="U109" i="4"/>
  <c r="U502" i="4"/>
  <c r="U491" i="4"/>
  <c r="U119" i="4"/>
  <c r="U306" i="4"/>
  <c r="U185" i="4"/>
  <c r="U470" i="4"/>
  <c r="U262" i="4"/>
  <c r="U36" i="4"/>
  <c r="U358" i="4"/>
  <c r="U514" i="4"/>
  <c r="U223" i="4"/>
  <c r="U496" i="4"/>
  <c r="U14" i="4"/>
  <c r="U298" i="4"/>
  <c r="U484" i="4"/>
  <c r="U345" i="4"/>
  <c r="U231" i="4"/>
  <c r="U178" i="4"/>
  <c r="U486" i="4"/>
  <c r="U256" i="4"/>
  <c r="U35" i="4"/>
  <c r="U346" i="4"/>
  <c r="U138" i="4"/>
  <c r="U501" i="4"/>
  <c r="U469" i="4"/>
  <c r="U90" i="4"/>
  <c r="U54" i="4"/>
  <c r="U418" i="4"/>
  <c r="U466" i="4"/>
  <c r="U293" i="4"/>
  <c r="U380" i="4"/>
  <c r="U155" i="4"/>
  <c r="U53" i="4"/>
  <c r="U153" i="4"/>
  <c r="U263" i="4"/>
  <c r="U423" i="4"/>
  <c r="U218" i="4"/>
  <c r="U187" i="4"/>
  <c r="U297" i="4"/>
  <c r="U393" i="4"/>
  <c r="U341" i="4"/>
  <c r="U279" i="4"/>
  <c r="U301" i="4"/>
  <c r="U328" i="4"/>
  <c r="U307" i="4"/>
  <c r="U241" i="4"/>
  <c r="U503" i="4"/>
  <c r="U438" i="4"/>
  <c r="U31" i="4"/>
  <c r="U103" i="4"/>
  <c r="U50" i="4"/>
  <c r="U444" i="4"/>
  <c r="U303" i="4"/>
  <c r="U132" i="4"/>
  <c r="U143" i="4"/>
  <c r="U105" i="4"/>
  <c r="U75" i="4"/>
  <c r="U490" i="4"/>
  <c r="U253" i="4"/>
  <c r="U267" i="4"/>
  <c r="U176" i="4"/>
  <c r="U264" i="4"/>
  <c r="U144" i="4"/>
  <c r="U219" i="4"/>
  <c r="U395" i="4"/>
  <c r="U193" i="4"/>
  <c r="U221" i="4"/>
  <c r="U114" i="4"/>
  <c r="U84" i="4"/>
  <c r="U509" i="4"/>
  <c r="U230" i="4"/>
  <c r="U445" i="4"/>
  <c r="U82" i="4"/>
  <c r="U497" i="4"/>
  <c r="U89" i="4"/>
  <c r="U24" i="4"/>
  <c r="U99" i="4"/>
  <c r="U387" i="4"/>
  <c r="U220" i="4"/>
  <c r="U375" i="4"/>
  <c r="U554" i="4"/>
  <c r="U464" i="4"/>
  <c r="U237" i="4"/>
  <c r="U195" i="4"/>
  <c r="U386" i="4"/>
  <c r="U450" i="4"/>
  <c r="U327" i="4"/>
  <c r="U227" i="4"/>
  <c r="U366" i="4"/>
  <c r="U449" i="4"/>
  <c r="U459" i="4"/>
  <c r="U398" i="4"/>
  <c r="U251" i="4"/>
  <c r="U60" i="4"/>
  <c r="U198" i="4"/>
  <c r="U152" i="4"/>
  <c r="U361" i="4"/>
  <c r="U315" i="4"/>
  <c r="U543" i="4"/>
  <c r="U250" i="4"/>
  <c r="U117" i="4"/>
  <c r="U137" i="4"/>
  <c r="U518" i="4"/>
  <c r="U136" i="4"/>
  <c r="U122" i="4"/>
  <c r="U47" i="4"/>
  <c r="U305" i="4"/>
  <c r="U343" i="4"/>
  <c r="U426" i="4"/>
  <c r="U133" i="4"/>
  <c r="U436" i="4"/>
  <c r="U557" i="4"/>
  <c r="U29" i="4"/>
  <c r="U374" i="4"/>
  <c r="U368" i="4"/>
  <c r="U170" i="4"/>
  <c r="U332" i="4"/>
  <c r="U55" i="4"/>
  <c r="U201" i="4"/>
  <c r="U245" i="4"/>
  <c r="U351" i="4"/>
  <c r="U243" i="4"/>
  <c r="U421" i="4"/>
  <c r="U446" i="4"/>
  <c r="U365" i="4"/>
  <c r="U544" i="4"/>
  <c r="U203" i="4"/>
  <c r="U350" i="4"/>
  <c r="U200" i="4"/>
  <c r="U100" i="4"/>
  <c r="U168" i="4"/>
  <c r="U234" i="4"/>
  <c r="U17" i="4"/>
  <c r="U417" i="4"/>
  <c r="U88" i="4"/>
  <c r="U13" i="4"/>
  <c r="U326" i="4"/>
  <c r="U74" i="4"/>
  <c r="U19" i="4"/>
  <c r="U302" i="4"/>
  <c r="U330" i="4"/>
  <c r="U528" i="4"/>
  <c r="U308" i="4"/>
  <c r="U270" i="4"/>
  <c r="U504" i="4"/>
  <c r="U123" i="4"/>
  <c r="U376" i="4"/>
  <c r="U367" i="4"/>
  <c r="U183" i="4"/>
  <c r="U505" i="4"/>
  <c r="U447" i="4"/>
  <c r="U460" i="4"/>
  <c r="U550" i="4"/>
  <c r="U235" i="4"/>
  <c r="U175" i="4"/>
  <c r="U396" i="4"/>
  <c r="U125" i="4"/>
  <c r="U359" i="4"/>
  <c r="U354" i="4"/>
  <c r="U474" i="4"/>
  <c r="U377" i="4"/>
  <c r="U382" i="4"/>
  <c r="U389" i="4"/>
  <c r="U415" i="4"/>
  <c r="U406" i="4"/>
  <c r="U44" i="4"/>
  <c r="U526" i="4"/>
  <c r="U72" i="4"/>
  <c r="U519" i="4"/>
  <c r="U63" i="4"/>
  <c r="U385" i="4"/>
  <c r="U261" i="4"/>
  <c r="U68" i="4"/>
  <c r="U451" i="4"/>
  <c r="U150" i="4"/>
  <c r="U527" i="4"/>
  <c r="U452" i="4"/>
  <c r="U286" i="4"/>
  <c r="U434" i="4"/>
  <c r="U331" i="4"/>
  <c r="U162" i="4"/>
  <c r="U120" i="4"/>
  <c r="U52" i="4"/>
  <c r="U9" i="4"/>
  <c r="U437" i="4"/>
  <c r="U164" i="4"/>
  <c r="U280" i="4"/>
  <c r="U95" i="4"/>
  <c r="U92" i="4"/>
  <c r="U319" i="4"/>
  <c r="U240" i="4"/>
  <c r="U462" i="4"/>
  <c r="U471" i="4"/>
  <c r="U192" i="4"/>
  <c r="U161" i="4"/>
  <c r="U340" i="4"/>
  <c r="U181" i="4"/>
  <c r="U299" i="4"/>
  <c r="U495" i="4"/>
  <c r="U440" i="4"/>
  <c r="U520" i="4"/>
  <c r="U425" i="4"/>
  <c r="U174" i="4"/>
  <c r="U283" i="4"/>
  <c r="U43" i="4"/>
  <c r="U336" i="4"/>
  <c r="U212" i="4"/>
  <c r="U400" i="4"/>
  <c r="U547" i="4"/>
  <c r="U472" i="4"/>
  <c r="U259" i="4"/>
  <c r="U10" i="4"/>
  <c r="U76" i="4"/>
  <c r="U37" i="4"/>
  <c r="U428" i="4"/>
  <c r="U121" i="4"/>
  <c r="U276" i="4"/>
  <c r="U85" i="4"/>
  <c r="U381" i="4"/>
  <c r="U321" i="4"/>
  <c r="U12" i="4"/>
  <c r="U69" i="4"/>
  <c r="U83" i="4"/>
  <c r="U435" i="4"/>
  <c r="U277" i="4"/>
  <c r="U500" i="4"/>
  <c r="U383" i="4"/>
  <c r="U394" i="4"/>
  <c r="U507" i="4"/>
  <c r="U226" i="4"/>
  <c r="U430" i="4"/>
  <c r="U424" i="4"/>
  <c r="U522" i="4"/>
  <c r="U403" i="4"/>
  <c r="U229" i="4"/>
  <c r="U49" i="4"/>
  <c r="U521" i="4"/>
  <c r="U489" i="4"/>
  <c r="U147" i="4"/>
  <c r="U104" i="4"/>
  <c r="U478" i="4"/>
  <c r="U314" i="4"/>
  <c r="U325" i="4"/>
  <c r="U59" i="4"/>
  <c r="U402" i="4"/>
  <c r="U21" i="4"/>
  <c r="U213" i="4"/>
  <c r="U401" i="4"/>
  <c r="U209" i="4"/>
  <c r="U139" i="4"/>
  <c r="U530" i="4"/>
  <c r="U211" i="4"/>
  <c r="U356" i="4"/>
  <c r="U128" i="4"/>
  <c r="U222" i="4"/>
  <c r="U285" i="4"/>
  <c r="U130" i="4"/>
  <c r="U210" i="4"/>
  <c r="U524" i="4"/>
  <c r="U228" i="4"/>
  <c r="U254" i="4"/>
  <c r="S225" i="6"/>
  <c r="S297" i="6"/>
  <c r="S292" i="6"/>
  <c r="S164" i="6"/>
  <c r="S337" i="6"/>
  <c r="S506" i="6"/>
  <c r="S533" i="6"/>
  <c r="S347" i="6"/>
  <c r="S381" i="6"/>
  <c r="S414" i="6"/>
  <c r="S88" i="6"/>
  <c r="S14" i="6"/>
  <c r="S298" i="6"/>
  <c r="S393" i="6"/>
  <c r="S110" i="6"/>
  <c r="S71" i="6"/>
  <c r="S35" i="6"/>
  <c r="S74" i="6"/>
  <c r="S113" i="6"/>
  <c r="S323" i="6"/>
  <c r="S516" i="6"/>
  <c r="S544" i="6"/>
  <c r="S126" i="6"/>
  <c r="S308" i="6"/>
  <c r="S130" i="6"/>
  <c r="S247" i="6"/>
  <c r="S424" i="6"/>
  <c r="S370" i="6"/>
  <c r="S195" i="6"/>
  <c r="S522" i="6"/>
  <c r="S155" i="6"/>
  <c r="S288" i="6"/>
  <c r="S361" i="6"/>
  <c r="S468" i="6"/>
  <c r="S551" i="6"/>
  <c r="S17" i="6"/>
  <c r="S254" i="6"/>
  <c r="S344" i="6"/>
  <c r="S418" i="6"/>
  <c r="S340" i="6"/>
  <c r="S93" i="6"/>
  <c r="S434" i="6"/>
  <c r="S156" i="6"/>
  <c r="S470" i="6"/>
  <c r="S528" i="6"/>
  <c r="S438" i="6"/>
  <c r="S198" i="6"/>
  <c r="S450" i="6"/>
  <c r="S103" i="6"/>
  <c r="S148" i="6"/>
  <c r="S76" i="6"/>
  <c r="S328" i="6"/>
  <c r="S7" i="6"/>
  <c r="S300" i="6"/>
  <c r="S539" i="6"/>
  <c r="S261" i="6"/>
  <c r="S236" i="6"/>
  <c r="S374" i="6"/>
  <c r="S342" i="6"/>
  <c r="S515" i="6"/>
  <c r="S378" i="6"/>
  <c r="S184" i="6"/>
  <c r="S287" i="6"/>
  <c r="S371" i="6"/>
  <c r="S461" i="6"/>
  <c r="S139" i="6"/>
  <c r="S140" i="6"/>
  <c r="S176" i="6"/>
  <c r="S101" i="6"/>
  <c r="S451" i="6"/>
  <c r="S83" i="6"/>
  <c r="S330" i="6"/>
  <c r="S202" i="6"/>
  <c r="S221" i="6"/>
  <c r="S331" i="6"/>
  <c r="S416" i="6"/>
  <c r="S267" i="6"/>
  <c r="S407" i="6"/>
  <c r="S265" i="6"/>
  <c r="S384" i="6"/>
  <c r="S114" i="6"/>
  <c r="S20" i="6"/>
  <c r="S116" i="6"/>
  <c r="S179" i="6"/>
  <c r="S30" i="6"/>
  <c r="S456" i="6"/>
  <c r="S57" i="6"/>
  <c r="S10" i="6"/>
  <c r="S275" i="6"/>
  <c r="S383" i="6"/>
  <c r="S389" i="6"/>
  <c r="S188" i="6"/>
  <c r="S107" i="6"/>
  <c r="S255" i="6"/>
  <c r="S142" i="6"/>
  <c r="S454" i="6"/>
  <c r="S313" i="6"/>
  <c r="S194" i="6"/>
  <c r="S84" i="6"/>
  <c r="S542" i="6"/>
  <c r="S278" i="6"/>
  <c r="S193" i="6"/>
  <c r="S493" i="6"/>
  <c r="S243" i="6"/>
  <c r="S41" i="6"/>
  <c r="S8" i="6"/>
  <c r="S37" i="6"/>
  <c r="S497" i="6"/>
  <c r="S16" i="6"/>
  <c r="S301" i="6"/>
  <c r="S215" i="6"/>
  <c r="S60" i="6"/>
  <c r="S426" i="6"/>
  <c r="S345" i="6"/>
  <c r="S291" i="6"/>
  <c r="S536" i="6"/>
  <c r="S508" i="6"/>
  <c r="S491" i="6"/>
  <c r="S341" i="6"/>
  <c r="S208" i="6"/>
  <c r="S464" i="6"/>
  <c r="S64" i="6"/>
  <c r="S379" i="6"/>
  <c r="S92" i="6"/>
  <c r="S109" i="6"/>
  <c r="S120" i="6"/>
  <c r="S366" i="6"/>
  <c r="S67" i="6"/>
  <c r="S18" i="6"/>
  <c r="S233" i="6"/>
  <c r="S89" i="6"/>
  <c r="S390" i="6"/>
  <c r="S473" i="6"/>
  <c r="S336" i="6"/>
  <c r="S437" i="6"/>
  <c r="S458" i="6"/>
  <c r="S160" i="6"/>
  <c r="S502" i="6"/>
  <c r="S510" i="6"/>
  <c r="S444" i="6"/>
  <c r="S128" i="6"/>
  <c r="S138" i="6"/>
  <c r="S496" i="6"/>
  <c r="S306" i="6"/>
  <c r="S250" i="6"/>
  <c r="S310" i="6"/>
  <c r="S333" i="6"/>
  <c r="S177" i="6"/>
  <c r="S494" i="6"/>
  <c r="S42" i="6"/>
  <c r="S373" i="6"/>
  <c r="S401" i="6"/>
  <c r="S45" i="6"/>
  <c r="S335" i="6"/>
  <c r="S448" i="6"/>
  <c r="S541" i="6"/>
  <c r="S203" i="6"/>
  <c r="S218" i="6"/>
  <c r="S514" i="6"/>
  <c r="S322" i="6"/>
  <c r="S222" i="6"/>
  <c r="S12" i="6"/>
  <c r="S223" i="6"/>
  <c r="S460" i="6"/>
  <c r="S546" i="6"/>
  <c r="S532" i="6"/>
  <c r="S489" i="6"/>
  <c r="S72" i="6"/>
  <c r="S272" i="6"/>
  <c r="S439" i="6"/>
  <c r="S200" i="6"/>
  <c r="S472" i="6"/>
  <c r="S276" i="6"/>
  <c r="S357" i="6"/>
  <c r="S556" i="6"/>
  <c r="S462" i="6"/>
  <c r="S206" i="6"/>
  <c r="S399" i="6"/>
  <c r="S122" i="6"/>
  <c r="S311" i="6"/>
  <c r="S519" i="6"/>
  <c r="S143" i="6"/>
  <c r="S309" i="6"/>
  <c r="S205" i="6"/>
  <c r="S180" i="6"/>
  <c r="S447" i="6"/>
  <c r="S353" i="6"/>
  <c r="S406" i="6"/>
  <c r="S377" i="6"/>
  <c r="S86" i="6"/>
  <c r="S385" i="6"/>
  <c r="S111" i="6"/>
  <c r="S151" i="6"/>
  <c r="S320" i="6"/>
  <c r="S271" i="6"/>
  <c r="S78" i="6"/>
  <c r="S349" i="6"/>
  <c r="S362" i="6"/>
  <c r="S91" i="6"/>
  <c r="S121" i="6"/>
  <c r="S9" i="6"/>
  <c r="S498" i="6"/>
  <c r="S112" i="6"/>
  <c r="S540" i="6"/>
  <c r="S474" i="6"/>
  <c r="S266" i="6"/>
  <c r="S32" i="6"/>
  <c r="S56" i="6"/>
  <c r="S549" i="6"/>
  <c r="S229" i="6"/>
  <c r="S351" i="6"/>
  <c r="S52" i="6"/>
  <c r="S420" i="6"/>
  <c r="S413" i="6"/>
  <c r="S402" i="6"/>
  <c r="S85" i="6"/>
  <c r="S204" i="6"/>
  <c r="S435" i="6"/>
  <c r="S350" i="6"/>
  <c r="S545" i="6"/>
  <c r="S499" i="6"/>
  <c r="S507" i="6"/>
  <c r="S319" i="6"/>
  <c r="S181" i="6"/>
  <c r="S21" i="6"/>
  <c r="S239" i="6"/>
  <c r="S15" i="6"/>
  <c r="S388" i="6"/>
  <c r="S466" i="6"/>
  <c r="S421" i="6"/>
  <c r="S175" i="6"/>
  <c r="S415" i="6"/>
  <c r="S428" i="6"/>
  <c r="S241" i="6"/>
  <c r="S268" i="6"/>
  <c r="S419" i="6"/>
  <c r="S173" i="6"/>
  <c r="S417" i="6"/>
  <c r="S125" i="6"/>
  <c r="S24" i="6"/>
  <c r="S408" i="6"/>
  <c r="S445" i="6"/>
  <c r="S429" i="6"/>
  <c r="S79" i="6"/>
  <c r="S467" i="6"/>
  <c r="S242" i="6"/>
  <c r="S197" i="6"/>
  <c r="S192" i="6"/>
  <c r="S244" i="6"/>
  <c r="S432" i="6"/>
  <c r="S253" i="6"/>
  <c r="S552" i="6"/>
  <c r="S284" i="6"/>
  <c r="S213" i="6"/>
  <c r="S433" i="6"/>
  <c r="S315" i="6"/>
  <c r="S495" i="6"/>
  <c r="S55" i="6"/>
  <c r="S412" i="6"/>
  <c r="S547" i="6"/>
  <c r="S43" i="6"/>
  <c r="S555" i="6"/>
  <c r="S501" i="6"/>
  <c r="S136" i="6"/>
  <c r="S422" i="6"/>
  <c r="S252" i="6"/>
  <c r="S131" i="6"/>
  <c r="S531" i="6"/>
  <c r="S106" i="6"/>
  <c r="S324" i="6"/>
  <c r="S346" i="6"/>
  <c r="S329" i="6"/>
  <c r="S548" i="6"/>
  <c r="S23" i="6"/>
  <c r="S397" i="6"/>
  <c r="S240" i="6"/>
  <c r="S147" i="6"/>
  <c r="S214" i="6"/>
  <c r="S327" i="6"/>
  <c r="S154" i="6"/>
  <c r="S479" i="6"/>
  <c r="S237" i="6"/>
  <c r="S25" i="6"/>
  <c r="S505" i="6"/>
  <c r="S94" i="6"/>
  <c r="S46" i="6"/>
  <c r="S339" i="6"/>
  <c r="S364" i="6"/>
  <c r="S172" i="6"/>
  <c r="S257" i="6"/>
  <c r="S503" i="6"/>
  <c r="S455" i="6"/>
  <c r="S480" i="6"/>
  <c r="S133" i="6"/>
  <c r="S355" i="6"/>
  <c r="S282" i="6"/>
  <c r="S270" i="6"/>
  <c r="S304" i="6"/>
  <c r="S314" i="6"/>
  <c r="S553" i="6"/>
  <c r="S483" i="6"/>
  <c r="S100" i="6"/>
  <c r="S259" i="6"/>
  <c r="S530" i="6"/>
  <c r="S152" i="6"/>
  <c r="S219" i="6"/>
  <c r="S512" i="6"/>
  <c r="S286" i="6"/>
  <c r="S360" i="6"/>
  <c r="S135" i="6"/>
  <c r="S87" i="6"/>
  <c r="S307" i="6"/>
  <c r="S137" i="6"/>
  <c r="S490" i="6"/>
  <c r="S410" i="6"/>
  <c r="S262" i="6"/>
  <c r="S442" i="6"/>
  <c r="S518" i="6"/>
  <c r="S430" i="6"/>
  <c r="S19" i="6"/>
  <c r="S538" i="6"/>
  <c r="S58" i="6"/>
  <c r="S118" i="6"/>
  <c r="S249" i="6"/>
  <c r="S289" i="6"/>
  <c r="S398" i="6"/>
  <c r="S186" i="6"/>
  <c r="S312" i="6"/>
  <c r="S317" i="6"/>
  <c r="S105" i="6"/>
  <c r="S157" i="6"/>
  <c r="S61" i="6"/>
  <c r="S161" i="6"/>
  <c r="S189" i="6"/>
  <c r="S376" i="6"/>
  <c r="S332" i="6"/>
  <c r="S146" i="6"/>
  <c r="S209" i="6"/>
  <c r="S196" i="6"/>
  <c r="S44" i="6"/>
  <c r="S201" i="6"/>
  <c r="S411" i="6"/>
  <c r="S396" i="6"/>
  <c r="S537" i="6"/>
  <c r="S258" i="6"/>
  <c r="S520" i="6"/>
  <c r="S273" i="6"/>
  <c r="S123" i="6"/>
  <c r="S513" i="6"/>
  <c r="S303" i="6"/>
  <c r="S117" i="6"/>
  <c r="S149" i="6"/>
  <c r="S486" i="6"/>
  <c r="S53" i="6"/>
  <c r="S170" i="6"/>
  <c r="S96" i="6"/>
  <c r="S440" i="6"/>
  <c r="S380" i="6"/>
  <c r="S248" i="6"/>
  <c r="S338" i="6"/>
  <c r="S296" i="6"/>
  <c r="S295" i="6"/>
  <c r="S281" i="6"/>
  <c r="S104" i="6"/>
  <c r="S124" i="6"/>
  <c r="S529" i="6"/>
  <c r="S69" i="6"/>
  <c r="S521" i="6"/>
  <c r="S95" i="6"/>
  <c r="S119" i="6"/>
  <c r="S97" i="6"/>
  <c r="S50" i="6"/>
  <c r="S216" i="6"/>
  <c r="S65" i="6"/>
  <c r="S554" i="6"/>
  <c r="S481" i="6"/>
  <c r="S431" i="6"/>
  <c r="S22" i="6"/>
  <c r="S260" i="6"/>
  <c r="S492" i="6"/>
  <c r="S231" i="6"/>
  <c r="S234" i="6"/>
  <c r="S463" i="6"/>
  <c r="S423" i="6"/>
  <c r="S358" i="6"/>
  <c r="S367" i="6"/>
  <c r="S63" i="6"/>
  <c r="S511" i="6"/>
  <c r="S487" i="6"/>
  <c r="S321" i="6"/>
  <c r="S316" i="6"/>
  <c r="S49" i="6"/>
  <c r="S48" i="6"/>
  <c r="S211" i="6"/>
  <c r="S534" i="6"/>
  <c r="S251" i="6"/>
  <c r="S525" i="6"/>
  <c r="S70" i="6"/>
  <c r="S212" i="6"/>
  <c r="S352" i="6"/>
  <c r="S66" i="6"/>
  <c r="S98" i="6"/>
  <c r="S478" i="6"/>
  <c r="S279" i="6"/>
  <c r="S144" i="6"/>
  <c r="S363" i="6"/>
  <c r="S476" i="6"/>
  <c r="S325" i="6"/>
  <c r="S334" i="6"/>
  <c r="S227" i="6"/>
  <c r="S168" i="6"/>
  <c r="S165" i="6"/>
  <c r="S527" i="6"/>
  <c r="S557" i="6"/>
  <c r="S59" i="6"/>
  <c r="S256" i="6"/>
  <c r="S465" i="6"/>
  <c r="S524" i="6"/>
  <c r="S190" i="6"/>
  <c r="S224" i="6"/>
  <c r="S150" i="6"/>
  <c r="S75" i="6"/>
  <c r="S403" i="6"/>
  <c r="S409" i="6"/>
  <c r="S369" i="6"/>
  <c r="S405" i="6"/>
  <c r="S182" i="6"/>
  <c r="S162" i="6"/>
  <c r="S132" i="6"/>
  <c r="S485" i="6"/>
  <c r="S27" i="6"/>
  <c r="S34" i="6"/>
  <c r="S280" i="6"/>
  <c r="S40" i="6"/>
  <c r="S523" i="6"/>
  <c r="S484" i="6"/>
  <c r="S382" i="6"/>
  <c r="S226" i="6"/>
  <c r="S81" i="6"/>
  <c r="S441" i="6"/>
  <c r="S82" i="6"/>
  <c r="S90" i="6"/>
  <c r="S391" i="6"/>
  <c r="S62" i="6"/>
  <c r="S26" i="6"/>
  <c r="S477" i="6"/>
  <c r="S238" i="6"/>
  <c r="S427" i="6"/>
  <c r="S277" i="6"/>
  <c r="S183" i="6"/>
  <c r="S158" i="6"/>
  <c r="S207" i="6"/>
  <c r="S134" i="6"/>
  <c r="S129" i="6"/>
  <c r="S543" i="6"/>
  <c r="S387" i="6"/>
  <c r="S285" i="6"/>
  <c r="S210" i="6"/>
  <c r="S199" i="6"/>
  <c r="S283" i="6"/>
  <c r="S77" i="6"/>
  <c r="S80" i="6"/>
  <c r="S108" i="6"/>
  <c r="S372" i="6"/>
  <c r="S343" i="6"/>
  <c r="S526" i="6"/>
  <c r="S217" i="6"/>
  <c r="S159" i="6"/>
  <c r="S299" i="6"/>
  <c r="S141" i="6"/>
  <c r="S517" i="6"/>
  <c r="S368" i="6"/>
  <c r="S453" i="6"/>
  <c r="S375" i="6"/>
  <c r="S394" i="6"/>
  <c r="S68" i="6"/>
  <c r="S326" i="6"/>
  <c r="S29" i="6"/>
  <c r="S318" i="6"/>
  <c r="S11" i="6"/>
  <c r="S102" i="6"/>
  <c r="S228" i="6"/>
  <c r="S232" i="6"/>
  <c r="S436" i="6"/>
  <c r="S28" i="6"/>
  <c r="S36" i="6"/>
  <c r="S469" i="6"/>
  <c r="S230" i="6"/>
  <c r="S39" i="6"/>
  <c r="S127" i="6"/>
  <c r="S171" i="6"/>
  <c r="S54" i="6"/>
  <c r="S115" i="6"/>
  <c r="S264" i="6"/>
  <c r="S392" i="6"/>
  <c r="S348" i="6"/>
  <c r="S302" i="6"/>
  <c r="S509" i="6"/>
  <c r="S167" i="6"/>
  <c r="S169" i="6"/>
  <c r="S535" i="6"/>
  <c r="S404" i="6"/>
  <c r="S269" i="6"/>
  <c r="S174" i="6"/>
  <c r="S245" i="6"/>
  <c r="S550" i="6"/>
  <c r="S178" i="6"/>
  <c r="S395" i="6"/>
  <c r="S145" i="6"/>
  <c r="S504" i="6"/>
  <c r="S471" i="6"/>
  <c r="S452" i="6"/>
  <c r="S482" i="6"/>
  <c r="S153" i="6"/>
  <c r="S290" i="6"/>
  <c r="S446" i="6"/>
  <c r="S356" i="6"/>
  <c r="S459" i="6"/>
  <c r="S386" i="6"/>
  <c r="S305" i="6"/>
  <c r="S31" i="6"/>
  <c r="S500" i="6"/>
  <c r="S191" i="6"/>
  <c r="S185" i="6"/>
  <c r="S47" i="6"/>
  <c r="S359" i="6"/>
  <c r="S166" i="6"/>
  <c r="S13" i="6"/>
  <c r="S457" i="6"/>
  <c r="S220" i="6"/>
  <c r="S293" i="6"/>
  <c r="S38" i="6"/>
  <c r="S475" i="6"/>
  <c r="S187" i="6"/>
  <c r="S425" i="6"/>
  <c r="S33" i="6"/>
  <c r="S294" i="6"/>
  <c r="S246" i="6"/>
  <c r="S51" i="6"/>
  <c r="S488" i="6"/>
  <c r="S449" i="6"/>
  <c r="S443" i="6"/>
  <c r="S99" i="6"/>
  <c r="S400" i="6"/>
  <c r="S365" i="6"/>
  <c r="S274" i="6"/>
  <c r="S235" i="6"/>
  <c r="S263" i="6"/>
  <c r="S354" i="6"/>
  <c r="S163" i="6"/>
  <c r="S73" i="6"/>
  <c r="U39" i="5"/>
  <c r="U52" i="5"/>
  <c r="U69" i="5"/>
  <c r="U38" i="5"/>
  <c r="U41" i="5"/>
  <c r="U15" i="5"/>
  <c r="U35" i="5"/>
  <c r="U19" i="5"/>
  <c r="U58" i="5"/>
  <c r="U25" i="5"/>
  <c r="U21" i="5"/>
  <c r="U67" i="5"/>
  <c r="U75" i="5"/>
  <c r="U56" i="5"/>
  <c r="U65" i="5"/>
  <c r="U9" i="5"/>
  <c r="U8" i="5"/>
  <c r="U24" i="5"/>
  <c r="U40" i="5"/>
  <c r="U57" i="5"/>
  <c r="U30" i="5"/>
  <c r="U72" i="5"/>
  <c r="U68" i="5"/>
  <c r="U46" i="5"/>
  <c r="U71" i="5"/>
  <c r="U10" i="5"/>
  <c r="U49" i="5"/>
  <c r="U45" i="5"/>
  <c r="U12" i="5"/>
  <c r="U53" i="5"/>
  <c r="U59" i="5"/>
  <c r="U32" i="5"/>
  <c r="U74" i="5"/>
  <c r="U55" i="5"/>
  <c r="U70" i="5"/>
  <c r="U11" i="5"/>
  <c r="U37" i="5"/>
  <c r="U18" i="5"/>
  <c r="U17" i="5"/>
  <c r="U26" i="5"/>
  <c r="U44" i="5"/>
  <c r="U16" i="5"/>
  <c r="U22" i="5"/>
  <c r="U14" i="5"/>
  <c r="U7" i="5"/>
  <c r="U27" i="5"/>
  <c r="U60" i="5"/>
  <c r="U51" i="5"/>
  <c r="U48" i="5"/>
  <c r="U20" i="5"/>
  <c r="U23" i="5"/>
  <c r="U66" i="5"/>
  <c r="U54" i="5"/>
  <c r="U61" i="5"/>
  <c r="U43" i="5"/>
  <c r="U77" i="5"/>
  <c r="U36" i="5"/>
  <c r="U63" i="5"/>
  <c r="U64" i="5"/>
  <c r="U29" i="5"/>
  <c r="U62" i="5"/>
  <c r="U73" i="5"/>
  <c r="U42" i="5"/>
  <c r="U34" i="5"/>
  <c r="U47" i="5"/>
  <c r="U78" i="5"/>
  <c r="U33" i="5"/>
  <c r="U50" i="5"/>
  <c r="U28" i="5"/>
  <c r="U31" i="5"/>
  <c r="U76" i="5"/>
  <c r="U13" i="5"/>
  <c r="R33" i="5"/>
  <c r="R14" i="5"/>
  <c r="R71" i="5"/>
  <c r="R54" i="5"/>
  <c r="R65" i="5"/>
  <c r="R43" i="5"/>
  <c r="R23" i="5"/>
  <c r="R66" i="5"/>
  <c r="R7" i="5"/>
  <c r="R8" i="5"/>
  <c r="R52" i="5"/>
  <c r="R77" i="5"/>
  <c r="R27" i="5"/>
  <c r="R38" i="5"/>
  <c r="R60" i="5"/>
  <c r="R59" i="5"/>
  <c r="R16" i="5"/>
  <c r="R49" i="5"/>
  <c r="R32" i="5"/>
  <c r="R67" i="5"/>
  <c r="R51" i="5"/>
  <c r="R69" i="5"/>
  <c r="R56" i="5"/>
  <c r="R55" i="5"/>
  <c r="R22" i="5"/>
  <c r="R70" i="5"/>
  <c r="R9" i="5"/>
  <c r="R40" i="5"/>
  <c r="R24" i="5"/>
  <c r="R74" i="5"/>
  <c r="R18" i="5"/>
  <c r="R39" i="5"/>
  <c r="R61" i="5"/>
  <c r="R41" i="5"/>
  <c r="R17" i="5"/>
  <c r="R30" i="5"/>
  <c r="R72" i="5"/>
  <c r="R53" i="5"/>
  <c r="R21" i="5"/>
  <c r="R68" i="5"/>
  <c r="R57" i="5"/>
  <c r="R35" i="5"/>
  <c r="R58" i="5"/>
  <c r="R75" i="5"/>
  <c r="R46" i="5"/>
  <c r="R10" i="5"/>
  <c r="R15" i="5"/>
  <c r="R11" i="5"/>
  <c r="R37" i="5"/>
  <c r="R26" i="5"/>
  <c r="R19" i="5"/>
  <c r="R28" i="5"/>
  <c r="R44" i="5"/>
  <c r="R25" i="5"/>
  <c r="R12" i="5"/>
  <c r="R48" i="5"/>
  <c r="R20" i="5"/>
  <c r="R45" i="5"/>
  <c r="R13" i="5"/>
  <c r="R47" i="5"/>
  <c r="R78" i="5"/>
  <c r="R29" i="5"/>
  <c r="R73" i="5"/>
  <c r="R76" i="5"/>
  <c r="R36" i="5"/>
  <c r="R64" i="5"/>
  <c r="R42" i="5"/>
  <c r="R34" i="5"/>
  <c r="R62" i="5"/>
  <c r="R31" i="5"/>
  <c r="R63" i="5"/>
  <c r="R50" i="5"/>
  <c r="V447" i="6"/>
  <c r="V439" i="6"/>
  <c r="V30" i="6"/>
  <c r="V200" i="6"/>
  <c r="V436" i="6"/>
  <c r="V514" i="6"/>
  <c r="V434" i="6"/>
  <c r="V197" i="6"/>
  <c r="V433" i="6"/>
  <c r="V155" i="6"/>
  <c r="V288" i="6"/>
  <c r="V117" i="6"/>
  <c r="V379" i="6"/>
  <c r="V468" i="6"/>
  <c r="V41" i="6"/>
  <c r="V363" i="6"/>
  <c r="V90" i="6"/>
  <c r="V133" i="6"/>
  <c r="V179" i="6"/>
  <c r="V310" i="6"/>
  <c r="V48" i="6"/>
  <c r="V84" i="6"/>
  <c r="V506" i="6"/>
  <c r="V214" i="6"/>
  <c r="V347" i="6"/>
  <c r="V406" i="6"/>
  <c r="V377" i="6"/>
  <c r="V455" i="6"/>
  <c r="V110" i="6"/>
  <c r="V76" i="6"/>
  <c r="V140" i="6"/>
  <c r="V328" i="6"/>
  <c r="V126" i="6"/>
  <c r="V384" i="6"/>
  <c r="V300" i="6"/>
  <c r="V130" i="6"/>
  <c r="V370" i="6"/>
  <c r="V56" i="6"/>
  <c r="V462" i="6"/>
  <c r="V541" i="6"/>
  <c r="V89" i="6"/>
  <c r="V205" i="6"/>
  <c r="V344" i="6"/>
  <c r="V418" i="6"/>
  <c r="V417" i="6"/>
  <c r="V247" i="6"/>
  <c r="V521" i="6"/>
  <c r="V458" i="6"/>
  <c r="V272" i="6"/>
  <c r="V315" i="6"/>
  <c r="V42" i="6"/>
  <c r="V381" i="6"/>
  <c r="V154" i="6"/>
  <c r="V415" i="6"/>
  <c r="V416" i="6"/>
  <c r="V334" i="6"/>
  <c r="V250" i="6"/>
  <c r="V407" i="6"/>
  <c r="V456" i="6"/>
  <c r="V265" i="6"/>
  <c r="V18" i="6"/>
  <c r="V176" i="6"/>
  <c r="V340" i="6"/>
  <c r="V156" i="6"/>
  <c r="V451" i="6"/>
  <c r="V83" i="6"/>
  <c r="V361" i="6"/>
  <c r="V202" i="6"/>
  <c r="V79" i="6"/>
  <c r="V107" i="6"/>
  <c r="V120" i="6"/>
  <c r="V28" i="6"/>
  <c r="V358" i="6"/>
  <c r="V74" i="6"/>
  <c r="V544" i="6"/>
  <c r="V7" i="6"/>
  <c r="V528" i="6"/>
  <c r="V337" i="6"/>
  <c r="V195" i="6"/>
  <c r="V490" i="6"/>
  <c r="V380" i="6"/>
  <c r="V261" i="6"/>
  <c r="V236" i="6"/>
  <c r="V114" i="6"/>
  <c r="V311" i="6"/>
  <c r="V445" i="6"/>
  <c r="V203" i="6"/>
  <c r="V233" i="6"/>
  <c r="V412" i="6"/>
  <c r="V497" i="6"/>
  <c r="V180" i="6"/>
  <c r="V257" i="6"/>
  <c r="V313" i="6"/>
  <c r="V438" i="6"/>
  <c r="V555" i="6"/>
  <c r="V495" i="6"/>
  <c r="V345" i="6"/>
  <c r="V57" i="6"/>
  <c r="V101" i="6"/>
  <c r="V177" i="6"/>
  <c r="V85" i="6"/>
  <c r="V383" i="6"/>
  <c r="V188" i="6"/>
  <c r="V411" i="6"/>
  <c r="V435" i="6"/>
  <c r="V88" i="6"/>
  <c r="V545" i="6"/>
  <c r="V109" i="6"/>
  <c r="V366" i="6"/>
  <c r="V255" i="6"/>
  <c r="V119" i="6"/>
  <c r="V281" i="6"/>
  <c r="V61" i="6"/>
  <c r="V116" i="6"/>
  <c r="V508" i="6"/>
  <c r="V325" i="6"/>
  <c r="V245" i="6"/>
  <c r="V515" i="6"/>
  <c r="V464" i="6"/>
  <c r="V547" i="6"/>
  <c r="V142" i="6"/>
  <c r="V473" i="6"/>
  <c r="V301" i="6"/>
  <c r="V389" i="6"/>
  <c r="V522" i="6"/>
  <c r="V252" i="6"/>
  <c r="V503" i="6"/>
  <c r="V278" i="6"/>
  <c r="V60" i="6"/>
  <c r="V258" i="6"/>
  <c r="V243" i="6"/>
  <c r="V296" i="6"/>
  <c r="V306" i="6"/>
  <c r="V20" i="6"/>
  <c r="V266" i="6"/>
  <c r="V470" i="6"/>
  <c r="V16" i="6"/>
  <c r="V291" i="6"/>
  <c r="V536" i="6"/>
  <c r="V373" i="6"/>
  <c r="V164" i="6"/>
  <c r="V420" i="6"/>
  <c r="V21" i="6"/>
  <c r="V319" i="6"/>
  <c r="V192" i="6"/>
  <c r="V198" i="6"/>
  <c r="V450" i="6"/>
  <c r="V267" i="6"/>
  <c r="V531" i="6"/>
  <c r="V151" i="6"/>
  <c r="V225" i="6"/>
  <c r="V401" i="6"/>
  <c r="V45" i="6"/>
  <c r="V429" i="6"/>
  <c r="V448" i="6"/>
  <c r="V147" i="6"/>
  <c r="V204" i="6"/>
  <c r="V160" i="6"/>
  <c r="V413" i="6"/>
  <c r="V172" i="6"/>
  <c r="V419" i="6"/>
  <c r="V173" i="6"/>
  <c r="V70" i="6"/>
  <c r="V333" i="6"/>
  <c r="V32" i="6"/>
  <c r="V49" i="6"/>
  <c r="V402" i="6"/>
  <c r="V231" i="6"/>
  <c r="V312" i="6"/>
  <c r="V472" i="6"/>
  <c r="V52" i="6"/>
  <c r="V143" i="6"/>
  <c r="V253" i="6"/>
  <c r="V489" i="6"/>
  <c r="V424" i="6"/>
  <c r="V174" i="6"/>
  <c r="V185" i="6"/>
  <c r="V268" i="6"/>
  <c r="V350" i="6"/>
  <c r="V414" i="6"/>
  <c r="V509" i="6"/>
  <c r="V105" i="6"/>
  <c r="V242" i="6"/>
  <c r="V322" i="6"/>
  <c r="V367" i="6"/>
  <c r="V229" i="6"/>
  <c r="V460" i="6"/>
  <c r="V546" i="6"/>
  <c r="V308" i="6"/>
  <c r="V454" i="6"/>
  <c r="V223" i="6"/>
  <c r="V357" i="6"/>
  <c r="V505" i="6"/>
  <c r="V53" i="6"/>
  <c r="V36" i="6"/>
  <c r="V39" i="6"/>
  <c r="V220" i="6"/>
  <c r="V113" i="6"/>
  <c r="V323" i="6"/>
  <c r="V516" i="6"/>
  <c r="V465" i="6"/>
  <c r="V118" i="6"/>
  <c r="V360" i="6"/>
  <c r="V441" i="6"/>
  <c r="V183" i="6"/>
  <c r="V364" i="6"/>
  <c r="V353" i="6"/>
  <c r="V86" i="6"/>
  <c r="V385" i="6"/>
  <c r="V351" i="6"/>
  <c r="V474" i="6"/>
  <c r="V335" i="6"/>
  <c r="V72" i="6"/>
  <c r="V421" i="6"/>
  <c r="V539" i="6"/>
  <c r="V507" i="6"/>
  <c r="V534" i="6"/>
  <c r="V276" i="6"/>
  <c r="V125" i="6"/>
  <c r="V466" i="6"/>
  <c r="V549" i="6"/>
  <c r="V399" i="6"/>
  <c r="V408" i="6"/>
  <c r="V428" i="6"/>
  <c r="V390" i="6"/>
  <c r="V494" i="6"/>
  <c r="V493" i="6"/>
  <c r="V551" i="6"/>
  <c r="V527" i="6"/>
  <c r="V371" i="6"/>
  <c r="V96" i="6"/>
  <c r="V476" i="6"/>
  <c r="V481" i="6"/>
  <c r="V171" i="6"/>
  <c r="V330" i="6"/>
  <c r="V93" i="6"/>
  <c r="V181" i="6"/>
  <c r="V175" i="6"/>
  <c r="V24" i="6"/>
  <c r="V241" i="6"/>
  <c r="V533" i="6"/>
  <c r="V275" i="6"/>
  <c r="V491" i="6"/>
  <c r="V341" i="6"/>
  <c r="V37" i="6"/>
  <c r="V432" i="6"/>
  <c r="V342" i="6"/>
  <c r="V222" i="6"/>
  <c r="V284" i="6"/>
  <c r="V10" i="6"/>
  <c r="V467" i="6"/>
  <c r="V104" i="6"/>
  <c r="V552" i="6"/>
  <c r="V194" i="6"/>
  <c r="V437" i="6"/>
  <c r="V213" i="6"/>
  <c r="V207" i="6"/>
  <c r="V244" i="6"/>
  <c r="V501" i="6"/>
  <c r="V240" i="6"/>
  <c r="V234" i="6"/>
  <c r="V149" i="6"/>
  <c r="V423" i="6"/>
  <c r="V537" i="6"/>
  <c r="V100" i="6"/>
  <c r="V374" i="6"/>
  <c r="V297" i="6"/>
  <c r="V309" i="6"/>
  <c r="V339" i="6"/>
  <c r="V542" i="6"/>
  <c r="V532" i="6"/>
  <c r="V14" i="6"/>
  <c r="V478" i="6"/>
  <c r="V124" i="6"/>
  <c r="V12" i="6"/>
  <c r="V303" i="6"/>
  <c r="V556" i="6"/>
  <c r="V479" i="6"/>
  <c r="V227" i="6"/>
  <c r="V168" i="6"/>
  <c r="V131" i="6"/>
  <c r="V165" i="6"/>
  <c r="V111" i="6"/>
  <c r="V530" i="6"/>
  <c r="V388" i="6"/>
  <c r="V161" i="6"/>
  <c r="V152" i="6"/>
  <c r="V524" i="6"/>
  <c r="V405" i="6"/>
  <c r="V519" i="6"/>
  <c r="V137" i="6"/>
  <c r="V64" i="6"/>
  <c r="V157" i="6"/>
  <c r="V502" i="6"/>
  <c r="V444" i="6"/>
  <c r="V82" i="6"/>
  <c r="V182" i="6"/>
  <c r="V484" i="6"/>
  <c r="V262" i="6"/>
  <c r="V442" i="6"/>
  <c r="V355" i="6"/>
  <c r="V190" i="6"/>
  <c r="V224" i="6"/>
  <c r="V150" i="6"/>
  <c r="V304" i="6"/>
  <c r="V535" i="6"/>
  <c r="V92" i="6"/>
  <c r="V483" i="6"/>
  <c r="V318" i="6"/>
  <c r="V475" i="6"/>
  <c r="V128" i="6"/>
  <c r="V480" i="6"/>
  <c r="V425" i="6"/>
  <c r="V376" i="6"/>
  <c r="V219" i="6"/>
  <c r="V512" i="6"/>
  <c r="V332" i="6"/>
  <c r="V282" i="6"/>
  <c r="V135" i="6"/>
  <c r="V44" i="6"/>
  <c r="V215" i="6"/>
  <c r="V378" i="6"/>
  <c r="V71" i="6"/>
  <c r="V557" i="6"/>
  <c r="V286" i="6"/>
  <c r="V538" i="6"/>
  <c r="V58" i="6"/>
  <c r="V87" i="6"/>
  <c r="V307" i="6"/>
  <c r="V186" i="6"/>
  <c r="V292" i="6"/>
  <c r="V193" i="6"/>
  <c r="V248" i="6"/>
  <c r="V69" i="6"/>
  <c r="V23" i="6"/>
  <c r="V271" i="6"/>
  <c r="V226" i="6"/>
  <c r="V13" i="6"/>
  <c r="V289" i="6"/>
  <c r="V430" i="6"/>
  <c r="V398" i="6"/>
  <c r="V504" i="6"/>
  <c r="V206" i="6"/>
  <c r="V317" i="6"/>
  <c r="V329" i="6"/>
  <c r="V513" i="6"/>
  <c r="V327" i="6"/>
  <c r="V55" i="6"/>
  <c r="V396" i="6"/>
  <c r="V486" i="6"/>
  <c r="V46" i="6"/>
  <c r="V422" i="6"/>
  <c r="V170" i="6"/>
  <c r="V65" i="6"/>
  <c r="V331" i="6"/>
  <c r="V298" i="6"/>
  <c r="V17" i="6"/>
  <c r="V499" i="6"/>
  <c r="V440" i="6"/>
  <c r="V295" i="6"/>
  <c r="V287" i="6"/>
  <c r="V529" i="6"/>
  <c r="V218" i="6"/>
  <c r="V136" i="6"/>
  <c r="V338" i="6"/>
  <c r="V95" i="6"/>
  <c r="V254" i="6"/>
  <c r="V548" i="6"/>
  <c r="V446" i="6"/>
  <c r="V80" i="6"/>
  <c r="V277" i="6"/>
  <c r="V362" i="6"/>
  <c r="V34" i="6"/>
  <c r="V280" i="6"/>
  <c r="V50" i="6"/>
  <c r="V426" i="6"/>
  <c r="V63" i="6"/>
  <c r="V324" i="6"/>
  <c r="V461" i="6"/>
  <c r="V211" i="6"/>
  <c r="V216" i="6"/>
  <c r="V463" i="6"/>
  <c r="V346" i="6"/>
  <c r="V525" i="6"/>
  <c r="V97" i="6"/>
  <c r="V359" i="6"/>
  <c r="V184" i="6"/>
  <c r="V511" i="6"/>
  <c r="V212" i="6"/>
  <c r="V122" i="6"/>
  <c r="V103" i="6"/>
  <c r="V239" i="6"/>
  <c r="V279" i="6"/>
  <c r="V246" i="6"/>
  <c r="V66" i="6"/>
  <c r="V98" i="6"/>
  <c r="V208" i="6"/>
  <c r="V510" i="6"/>
  <c r="V251" i="6"/>
  <c r="V393" i="6"/>
  <c r="V410" i="6"/>
  <c r="V259" i="6"/>
  <c r="V67" i="6"/>
  <c r="V365" i="6"/>
  <c r="V403" i="6"/>
  <c r="V285" i="6"/>
  <c r="V302" i="6"/>
  <c r="V449" i="6"/>
  <c r="V68" i="6"/>
  <c r="V270" i="6"/>
  <c r="V209" i="6"/>
  <c r="V43" i="6"/>
  <c r="V320" i="6"/>
  <c r="V40" i="6"/>
  <c r="V354" i="6"/>
  <c r="V62" i="6"/>
  <c r="V210" i="6"/>
  <c r="V199" i="6"/>
  <c r="V293" i="6"/>
  <c r="V11" i="6"/>
  <c r="V283" i="6"/>
  <c r="V19" i="6"/>
  <c r="V127" i="6"/>
  <c r="V500" i="6"/>
  <c r="V144" i="6"/>
  <c r="V523" i="6"/>
  <c r="V26" i="6"/>
  <c r="V273" i="6"/>
  <c r="V540" i="6"/>
  <c r="V290" i="6"/>
  <c r="V427" i="6"/>
  <c r="V485" i="6"/>
  <c r="V237" i="6"/>
  <c r="V129" i="6"/>
  <c r="V409" i="6"/>
  <c r="V387" i="6"/>
  <c r="V146" i="6"/>
  <c r="V81" i="6"/>
  <c r="V75" i="6"/>
  <c r="V112" i="6"/>
  <c r="V158" i="6"/>
  <c r="V375" i="6"/>
  <c r="V343" i="6"/>
  <c r="V526" i="6"/>
  <c r="V382" i="6"/>
  <c r="V102" i="6"/>
  <c r="V159" i="6"/>
  <c r="V299" i="6"/>
  <c r="V196" i="6"/>
  <c r="V141" i="6"/>
  <c r="V232" i="6"/>
  <c r="V518" i="6"/>
  <c r="V249" i="6"/>
  <c r="V453" i="6"/>
  <c r="V326" i="6"/>
  <c r="V106" i="6"/>
  <c r="V134" i="6"/>
  <c r="V8" i="6"/>
  <c r="V543" i="6"/>
  <c r="V59" i="6"/>
  <c r="V230" i="6"/>
  <c r="V394" i="6"/>
  <c r="V77" i="6"/>
  <c r="V431" i="6"/>
  <c r="V487" i="6"/>
  <c r="V372" i="6"/>
  <c r="V217" i="6"/>
  <c r="V477" i="6"/>
  <c r="V9" i="6"/>
  <c r="V386" i="6"/>
  <c r="V201" i="6"/>
  <c r="V391" i="6"/>
  <c r="V29" i="6"/>
  <c r="V469" i="6"/>
  <c r="V397" i="6"/>
  <c r="V348" i="6"/>
  <c r="V260" i="6"/>
  <c r="V108" i="6"/>
  <c r="V25" i="6"/>
  <c r="V54" i="6"/>
  <c r="V392" i="6"/>
  <c r="V520" i="6"/>
  <c r="V264" i="6"/>
  <c r="V22" i="6"/>
  <c r="V349" i="6"/>
  <c r="V517" i="6"/>
  <c r="V471" i="6"/>
  <c r="V91" i="6"/>
  <c r="V404" i="6"/>
  <c r="V269" i="6"/>
  <c r="V115" i="6"/>
  <c r="V15" i="6"/>
  <c r="V35" i="6"/>
  <c r="V189" i="6"/>
  <c r="V443" i="6"/>
  <c r="V452" i="6"/>
  <c r="V550" i="6"/>
  <c r="V178" i="6"/>
  <c r="V228" i="6"/>
  <c r="V368" i="6"/>
  <c r="V166" i="6"/>
  <c r="V167" i="6"/>
  <c r="V121" i="6"/>
  <c r="V169" i="6"/>
  <c r="V148" i="6"/>
  <c r="V51" i="6"/>
  <c r="V459" i="6"/>
  <c r="V492" i="6"/>
  <c r="V238" i="6"/>
  <c r="V27" i="6"/>
  <c r="V274" i="6"/>
  <c r="V73" i="6"/>
  <c r="V305" i="6"/>
  <c r="V191" i="6"/>
  <c r="V123" i="6"/>
  <c r="V352" i="6"/>
  <c r="V321" i="6"/>
  <c r="V47" i="6"/>
  <c r="V78" i="6"/>
  <c r="V187" i="6"/>
  <c r="V457" i="6"/>
  <c r="V395" i="6"/>
  <c r="V38" i="6"/>
  <c r="V235" i="6"/>
  <c r="V163" i="6"/>
  <c r="V554" i="6"/>
  <c r="V162" i="6"/>
  <c r="V294" i="6"/>
  <c r="V488" i="6"/>
  <c r="V482" i="6"/>
  <c r="V33" i="6"/>
  <c r="V553" i="6"/>
  <c r="V139" i="6"/>
  <c r="V369" i="6"/>
  <c r="V400" i="6"/>
  <c r="V221" i="6"/>
  <c r="V138" i="6"/>
  <c r="V356" i="6"/>
  <c r="V99" i="6"/>
  <c r="V498" i="6"/>
  <c r="V316" i="6"/>
  <c r="V145" i="6"/>
  <c r="V496" i="6"/>
  <c r="V256" i="6"/>
  <c r="V132" i="6"/>
  <c r="V336" i="6"/>
  <c r="V94" i="6"/>
  <c r="V153" i="6"/>
  <c r="V263" i="6"/>
  <c r="V314" i="6"/>
  <c r="V31" i="6"/>
  <c r="X125" i="4"/>
  <c r="X26" i="4"/>
  <c r="X237" i="4"/>
  <c r="X499" i="4"/>
  <c r="X410" i="4"/>
  <c r="X450" i="4"/>
  <c r="X148" i="4"/>
  <c r="X227" i="4"/>
  <c r="X149" i="4"/>
  <c r="X517" i="4"/>
  <c r="X9" i="4"/>
  <c r="X96" i="4"/>
  <c r="X29" i="4"/>
  <c r="X293" i="4"/>
  <c r="X340" i="4"/>
  <c r="X173" i="4"/>
  <c r="X38" i="4"/>
  <c r="X45" i="4"/>
  <c r="X404" i="4"/>
  <c r="X484" i="4"/>
  <c r="X127" i="4"/>
  <c r="X409" i="4"/>
  <c r="X494" i="4"/>
  <c r="X455" i="4"/>
  <c r="X196" i="4"/>
  <c r="X48" i="4"/>
  <c r="X472" i="4"/>
  <c r="X453" i="4"/>
  <c r="X395" i="4"/>
  <c r="X92" i="4"/>
  <c r="X102" i="4"/>
  <c r="X141" i="4"/>
  <c r="X527" i="4"/>
  <c r="X115" i="4"/>
  <c r="X250" i="4"/>
  <c r="X342" i="4"/>
  <c r="X248" i="4"/>
  <c r="X146" i="4"/>
  <c r="X406" i="4"/>
  <c r="X284" i="4"/>
  <c r="X483" i="4"/>
  <c r="X212" i="4"/>
  <c r="X67" i="4"/>
  <c r="X82" i="4"/>
  <c r="X37" i="4"/>
  <c r="X255" i="4"/>
  <c r="X462" i="4"/>
  <c r="X76" i="4"/>
  <c r="X554" i="4"/>
  <c r="X371" i="4"/>
  <c r="X511" i="4"/>
  <c r="X85" i="4"/>
  <c r="X436" i="4"/>
  <c r="X167" i="4"/>
  <c r="X369" i="4"/>
  <c r="X199" i="4"/>
  <c r="X134" i="4"/>
  <c r="X73" i="4"/>
  <c r="X480" i="4"/>
  <c r="X27" i="4"/>
  <c r="X532" i="4"/>
  <c r="X181" i="4"/>
  <c r="X289" i="4"/>
  <c r="X467" i="4"/>
  <c r="X34" i="4"/>
  <c r="X140" i="4"/>
  <c r="X425" i="4"/>
  <c r="X159" i="4"/>
  <c r="X501" i="4"/>
  <c r="X441" i="4"/>
  <c r="X118" i="4"/>
  <c r="X353" i="4"/>
  <c r="X469" i="4"/>
  <c r="X382" i="4"/>
  <c r="X414" i="4"/>
  <c r="X529" i="4"/>
  <c r="X498" i="4"/>
  <c r="X270" i="4"/>
  <c r="X388" i="4"/>
  <c r="X535" i="4"/>
  <c r="X274" i="4"/>
  <c r="X129" i="4"/>
  <c r="X411" i="4"/>
  <c r="X495" i="4"/>
  <c r="X16" i="4"/>
  <c r="X295" i="4"/>
  <c r="X413" i="4"/>
  <c r="X481" i="4"/>
  <c r="X306" i="4"/>
  <c r="X354" i="4"/>
  <c r="X264" i="4"/>
  <c r="X311" i="4"/>
  <c r="X390" i="4"/>
  <c r="X28" i="4"/>
  <c r="X557" i="4"/>
  <c r="X132" i="4"/>
  <c r="X367" i="4"/>
  <c r="X514" i="4"/>
  <c r="X540" i="4"/>
  <c r="X335" i="4"/>
  <c r="X290" i="4"/>
  <c r="X397" i="4"/>
  <c r="X528" i="4"/>
  <c r="X377" i="4"/>
  <c r="X419" i="4"/>
  <c r="X143" i="4"/>
  <c r="X259" i="4"/>
  <c r="X301" i="4"/>
  <c r="X531" i="4"/>
  <c r="X344" i="4"/>
  <c r="X408" i="4"/>
  <c r="X84" i="4"/>
  <c r="X506" i="4"/>
  <c r="X246" i="4"/>
  <c r="X40" i="4"/>
  <c r="X87" i="4"/>
  <c r="X346" i="4"/>
  <c r="X74" i="4"/>
  <c r="X446" i="4"/>
  <c r="X126" i="4"/>
  <c r="X54" i="4"/>
  <c r="X208" i="4"/>
  <c r="X44" i="4"/>
  <c r="X298" i="4"/>
  <c r="X98" i="4"/>
  <c r="X136" i="4"/>
  <c r="X253" i="4"/>
  <c r="X245" i="4"/>
  <c r="X22" i="4"/>
  <c r="X180" i="4"/>
  <c r="X205" i="4"/>
  <c r="X370" i="4"/>
  <c r="X79" i="4"/>
  <c r="X182" i="4"/>
  <c r="X302" i="4"/>
  <c r="X93" i="4"/>
  <c r="X423" i="4"/>
  <c r="X138" i="4"/>
  <c r="X64" i="4"/>
  <c r="X108" i="4"/>
  <c r="X504" i="4"/>
  <c r="X345" i="4"/>
  <c r="X508" i="4"/>
  <c r="X163" i="4"/>
  <c r="X438" i="4"/>
  <c r="X348" i="4"/>
  <c r="X239" i="4"/>
  <c r="X41" i="4"/>
  <c r="X177" i="4"/>
  <c r="X195" i="4"/>
  <c r="X165" i="4"/>
  <c r="X72" i="4"/>
  <c r="X512" i="4"/>
  <c r="X417" i="4"/>
  <c r="X142" i="4"/>
  <c r="X155" i="4"/>
  <c r="X30" i="4"/>
  <c r="X202" i="4"/>
  <c r="X312" i="4"/>
  <c r="X190" i="4"/>
  <c r="X282" i="4"/>
  <c r="X329" i="4"/>
  <c r="X379" i="4"/>
  <c r="X271" i="4"/>
  <c r="X543" i="4"/>
  <c r="X362" i="4"/>
  <c r="X68" i="4"/>
  <c r="X427" i="4"/>
  <c r="X538" i="4"/>
  <c r="X258" i="4"/>
  <c r="X331" i="4"/>
  <c r="X215" i="4"/>
  <c r="X407" i="4"/>
  <c r="X304" i="4"/>
  <c r="X355" i="4"/>
  <c r="X151" i="4"/>
  <c r="X225" i="4"/>
  <c r="X192" i="4"/>
  <c r="X166" i="4"/>
  <c r="X252" i="4"/>
  <c r="X214" i="4"/>
  <c r="X188" i="4"/>
  <c r="X475" i="4"/>
  <c r="X330" i="4"/>
  <c r="X33" i="4"/>
  <c r="X305" i="4"/>
  <c r="X418" i="4"/>
  <c r="X122" i="4"/>
  <c r="X231" i="4"/>
  <c r="X334" i="4"/>
  <c r="X121" i="4"/>
  <c r="X31" i="4"/>
  <c r="X88" i="4"/>
  <c r="X275" i="4"/>
  <c r="X391" i="4"/>
  <c r="X119" i="4"/>
  <c r="X376" i="4"/>
  <c r="X281" i="4"/>
  <c r="X266" i="4"/>
  <c r="X429" i="4"/>
  <c r="X251" i="4"/>
  <c r="X154" i="4"/>
  <c r="X53" i="4"/>
  <c r="X420" i="4"/>
  <c r="X157" i="4"/>
  <c r="X161" i="4"/>
  <c r="X551" i="4"/>
  <c r="X448" i="4"/>
  <c r="X71" i="4"/>
  <c r="X201" i="4"/>
  <c r="X422" i="4"/>
  <c r="X328" i="4"/>
  <c r="X174" i="4"/>
  <c r="X58" i="4"/>
  <c r="X393" i="4"/>
  <c r="X221" i="4"/>
  <c r="X473" i="4"/>
  <c r="X466" i="4"/>
  <c r="X442" i="4"/>
  <c r="X361" i="4"/>
  <c r="X224" i="4"/>
  <c r="X337" i="4"/>
  <c r="X223" i="4"/>
  <c r="X320" i="4"/>
  <c r="X294" i="4"/>
  <c r="X447" i="4"/>
  <c r="X518" i="4"/>
  <c r="X308" i="4"/>
  <c r="X105" i="4"/>
  <c r="X120" i="4"/>
  <c r="X465" i="4"/>
  <c r="X451" i="4"/>
  <c r="X77" i="4"/>
  <c r="X7" i="4"/>
  <c r="X322" i="4"/>
  <c r="X243" i="4"/>
  <c r="X497" i="4"/>
  <c r="X470" i="4"/>
  <c r="X203" i="4"/>
  <c r="X52" i="4"/>
  <c r="X169" i="4"/>
  <c r="X505" i="4"/>
  <c r="X357" i="4"/>
  <c r="X172" i="4"/>
  <c r="X515" i="4"/>
  <c r="X261" i="4"/>
  <c r="X216" i="4"/>
  <c r="X279" i="4"/>
  <c r="X90" i="4"/>
  <c r="X112" i="4"/>
  <c r="X61" i="4"/>
  <c r="X545" i="4"/>
  <c r="X189" i="4"/>
  <c r="X276" i="4"/>
  <c r="X110" i="4"/>
  <c r="X14" i="4"/>
  <c r="X490" i="4"/>
  <c r="X297" i="4"/>
  <c r="X380" i="4"/>
  <c r="X200" i="4"/>
  <c r="X457" i="4"/>
  <c r="X219" i="4"/>
  <c r="X541" i="4"/>
  <c r="X434" i="4"/>
  <c r="X452" i="4"/>
  <c r="X19" i="4"/>
  <c r="X114" i="4"/>
  <c r="X100" i="4"/>
  <c r="X520" i="4"/>
  <c r="X491" i="4"/>
  <c r="X300" i="4"/>
  <c r="X412" i="4"/>
  <c r="X106" i="4"/>
  <c r="X323" i="4"/>
  <c r="X89" i="4"/>
  <c r="X366" i="4"/>
  <c r="X244" i="4"/>
  <c r="X556" i="4"/>
  <c r="X534" i="4"/>
  <c r="X186" i="4"/>
  <c r="X416" i="4"/>
  <c r="X437" i="4"/>
  <c r="X440" i="4"/>
  <c r="X265" i="4"/>
  <c r="X510" i="4"/>
  <c r="X460" i="4"/>
  <c r="X46" i="4"/>
  <c r="X503" i="4"/>
  <c r="X468" i="4"/>
  <c r="X81" i="4"/>
  <c r="X310" i="4"/>
  <c r="X546" i="4"/>
  <c r="X396" i="4"/>
  <c r="X56" i="4"/>
  <c r="X360" i="4"/>
  <c r="X233" i="4"/>
  <c r="X184" i="4"/>
  <c r="X552" i="4"/>
  <c r="X405" i="4"/>
  <c r="X283" i="4"/>
  <c r="X257" i="4"/>
  <c r="X145" i="4"/>
  <c r="X43" i="4"/>
  <c r="X65" i="4"/>
  <c r="X280" i="4"/>
  <c r="X194" i="4"/>
  <c r="X431" i="4"/>
  <c r="X463" i="4"/>
  <c r="X343" i="4"/>
  <c r="X170" i="4"/>
  <c r="X238" i="4"/>
  <c r="X11" i="4"/>
  <c r="X459" i="4"/>
  <c r="X109" i="4"/>
  <c r="X384" i="4"/>
  <c r="X185" i="4"/>
  <c r="X536" i="4"/>
  <c r="X260" i="4"/>
  <c r="X351" i="4"/>
  <c r="X374" i="4"/>
  <c r="X307" i="4"/>
  <c r="X263" i="4"/>
  <c r="X368" i="4"/>
  <c r="X99" i="4"/>
  <c r="X332" i="4"/>
  <c r="X32" i="4"/>
  <c r="X317" i="4"/>
  <c r="X230" i="4"/>
  <c r="X389" i="4"/>
  <c r="X278" i="4"/>
  <c r="X303" i="4"/>
  <c r="X107" i="4"/>
  <c r="X63" i="4"/>
  <c r="X372" i="4"/>
  <c r="X458" i="4"/>
  <c r="X318" i="4"/>
  <c r="X97" i="4"/>
  <c r="X150" i="4"/>
  <c r="X324" i="4"/>
  <c r="X378" i="4"/>
  <c r="X153" i="4"/>
  <c r="X179" i="4"/>
  <c r="X352" i="4"/>
  <c r="X272" i="4"/>
  <c r="X339" i="4"/>
  <c r="X373" i="4"/>
  <c r="X103" i="4"/>
  <c r="X171" i="4"/>
  <c r="X160" i="4"/>
  <c r="X553" i="4"/>
  <c r="X493" i="4"/>
  <c r="X17" i="4"/>
  <c r="X313" i="4"/>
  <c r="X502" i="4"/>
  <c r="X443" i="4"/>
  <c r="X516" i="4"/>
  <c r="X25" i="4"/>
  <c r="X482" i="4"/>
  <c r="X509" i="4"/>
  <c r="X256" i="4"/>
  <c r="X273" i="4"/>
  <c r="X385" i="4"/>
  <c r="X247" i="4"/>
  <c r="X488" i="4"/>
  <c r="X445" i="4"/>
  <c r="X101" i="4"/>
  <c r="X123" i="4"/>
  <c r="X156" i="4"/>
  <c r="X555" i="4"/>
  <c r="X375" i="4"/>
  <c r="X62" i="4"/>
  <c r="X86" i="4"/>
  <c r="X454" i="4"/>
  <c r="X191" i="4"/>
  <c r="X42" i="4"/>
  <c r="X400" i="4"/>
  <c r="X220" i="4"/>
  <c r="X363" i="4"/>
  <c r="X57" i="4"/>
  <c r="X519" i="4"/>
  <c r="X187" i="4"/>
  <c r="X464" i="4"/>
  <c r="X492" i="4"/>
  <c r="X178" i="4"/>
  <c r="X249" i="4"/>
  <c r="X113" i="4"/>
  <c r="X78" i="4"/>
  <c r="X23" i="4"/>
  <c r="X525" i="4"/>
  <c r="X526" i="4"/>
  <c r="X299" i="4"/>
  <c r="X131" i="4"/>
  <c r="X421" i="4"/>
  <c r="X449" i="4"/>
  <c r="X433" i="4"/>
  <c r="X15" i="4"/>
  <c r="X137" i="4"/>
  <c r="X269" i="4"/>
  <c r="X398" i="4"/>
  <c r="X94" i="4"/>
  <c r="X432" i="4"/>
  <c r="X135" i="4"/>
  <c r="X364" i="4"/>
  <c r="X523" i="4"/>
  <c r="X133" i="4"/>
  <c r="X206" i="4"/>
  <c r="X162" i="4"/>
  <c r="X50" i="4"/>
  <c r="X288" i="4"/>
  <c r="X327" i="4"/>
  <c r="X399" i="4"/>
  <c r="X479" i="4"/>
  <c r="X18" i="4"/>
  <c r="X240" i="4"/>
  <c r="X164" i="4"/>
  <c r="X158" i="4"/>
  <c r="X124" i="4"/>
  <c r="X381" i="4"/>
  <c r="X235" i="4"/>
  <c r="X287" i="4"/>
  <c r="X461" i="4"/>
  <c r="X117" i="4"/>
  <c r="X392" i="4"/>
  <c r="X358" i="4"/>
  <c r="X321" i="4"/>
  <c r="X75" i="4"/>
  <c r="X350" i="4"/>
  <c r="X66" i="4"/>
  <c r="X70" i="4"/>
  <c r="X539" i="4"/>
  <c r="X476" i="4"/>
  <c r="X486" i="4"/>
  <c r="X268" i="4"/>
  <c r="X444" i="4"/>
  <c r="X236" i="4"/>
  <c r="X111" i="4"/>
  <c r="X542" i="4"/>
  <c r="X95" i="4"/>
  <c r="X326" i="4"/>
  <c r="X51" i="4"/>
  <c r="X336" i="4"/>
  <c r="X80" i="4"/>
  <c r="X91" i="4"/>
  <c r="X487" i="4"/>
  <c r="X207" i="4"/>
  <c r="X365" i="4"/>
  <c r="X35" i="4"/>
  <c r="X474" i="4"/>
  <c r="X234" i="4"/>
  <c r="X341" i="4"/>
  <c r="X39" i="4"/>
  <c r="X315" i="4"/>
  <c r="X549" i="4"/>
  <c r="X286" i="4"/>
  <c r="X175" i="4"/>
  <c r="X218" i="4"/>
  <c r="X513" i="4"/>
  <c r="X537" i="4"/>
  <c r="X548" i="4"/>
  <c r="X47" i="4"/>
  <c r="X547" i="4"/>
  <c r="X316" i="4"/>
  <c r="X176" i="4"/>
  <c r="X471" i="4"/>
  <c r="X533" i="4"/>
  <c r="X213" i="4"/>
  <c r="X21" i="4"/>
  <c r="X521" i="4"/>
  <c r="X386" i="4"/>
  <c r="X430" i="4"/>
  <c r="X439" i="4"/>
  <c r="X60" i="4"/>
  <c r="X144" i="4"/>
  <c r="X104" i="4"/>
  <c r="X333" i="4"/>
  <c r="X477" i="4"/>
  <c r="X387" i="4"/>
  <c r="X394" i="4"/>
  <c r="X49" i="4"/>
  <c r="X485" i="4"/>
  <c r="X277" i="4"/>
  <c r="X232" i="4"/>
  <c r="X356" i="4"/>
  <c r="X292" i="4"/>
  <c r="X496" i="4"/>
  <c r="X524" i="4"/>
  <c r="X222" i="4"/>
  <c r="X285" i="4"/>
  <c r="X383" i="4"/>
  <c r="X8" i="4"/>
  <c r="X241" i="4"/>
  <c r="X228" i="4"/>
  <c r="X314" i="4"/>
  <c r="X550" i="4"/>
  <c r="X424" i="4"/>
  <c r="X478" i="4"/>
  <c r="X456" i="4"/>
  <c r="X489" i="4"/>
  <c r="X152" i="4"/>
  <c r="X428" i="4"/>
  <c r="X262" i="4"/>
  <c r="X325" i="4"/>
  <c r="X415" i="4"/>
  <c r="X226" i="4"/>
  <c r="X522" i="4"/>
  <c r="X168" i="4"/>
  <c r="X211" i="4"/>
  <c r="X204" i="4"/>
  <c r="X210" i="4"/>
  <c r="X193" i="4"/>
  <c r="X10" i="4"/>
  <c r="X319" i="4"/>
  <c r="X507" i="4"/>
  <c r="X147" i="4"/>
  <c r="X254" i="4"/>
  <c r="X24" i="4"/>
  <c r="X349" i="4"/>
  <c r="X403" i="4"/>
  <c r="X267" i="4"/>
  <c r="X309" i="4"/>
  <c r="X426" i="4"/>
  <c r="X296" i="4"/>
  <c r="X209" i="4"/>
  <c r="X435" i="4"/>
  <c r="X544" i="4"/>
  <c r="X402" i="4"/>
  <c r="X500" i="4"/>
  <c r="X116" i="4"/>
  <c r="X197" i="4"/>
  <c r="X242" i="4"/>
  <c r="X229" i="4"/>
  <c r="X401" i="4"/>
  <c r="X347" i="4"/>
  <c r="X291" i="4"/>
  <c r="X338" i="4"/>
  <c r="X59" i="4"/>
  <c r="X359" i="4"/>
  <c r="X55" i="4"/>
  <c r="X128" i="4"/>
  <c r="X530" i="4"/>
  <c r="X183" i="4"/>
  <c r="X139" i="4"/>
  <c r="X20" i="4"/>
  <c r="X69" i="4"/>
  <c r="X36" i="4"/>
  <c r="X198" i="4"/>
  <c r="X13" i="4"/>
  <c r="X217" i="4"/>
  <c r="X83" i="4"/>
  <c r="X12" i="4"/>
  <c r="X130" i="4"/>
  <c r="Q76" i="6"/>
  <c r="Q474" i="6"/>
  <c r="Q451" i="6"/>
  <c r="Q458" i="6"/>
  <c r="Q539" i="6"/>
  <c r="Q160" i="6"/>
  <c r="Q272" i="6"/>
  <c r="Q240" i="6"/>
  <c r="Q221" i="6"/>
  <c r="Q416" i="6"/>
  <c r="Q111" i="6"/>
  <c r="Q511" i="6"/>
  <c r="Q476" i="6"/>
  <c r="Q403" i="6"/>
  <c r="Q162" i="6"/>
  <c r="Q140" i="6"/>
  <c r="Q225" i="6"/>
  <c r="Q114" i="6"/>
  <c r="Q18" i="6"/>
  <c r="Q384" i="6"/>
  <c r="Q340" i="6"/>
  <c r="Q337" i="6"/>
  <c r="Q521" i="6"/>
  <c r="Q42" i="6"/>
  <c r="Q393" i="6"/>
  <c r="Q287" i="6"/>
  <c r="Q124" i="6"/>
  <c r="Q311" i="6"/>
  <c r="Q250" i="6"/>
  <c r="Q456" i="6"/>
  <c r="Q205" i="6"/>
  <c r="Q7" i="6"/>
  <c r="Q247" i="6"/>
  <c r="Q422" i="6"/>
  <c r="Q490" i="6"/>
  <c r="Q438" i="6"/>
  <c r="Q236" i="6"/>
  <c r="Q328" i="6"/>
  <c r="Q335" i="6"/>
  <c r="Q176" i="6"/>
  <c r="Q12" i="6"/>
  <c r="Q83" i="6"/>
  <c r="Q533" i="6"/>
  <c r="Q261" i="6"/>
  <c r="Q330" i="6"/>
  <c r="Q202" i="6"/>
  <c r="Q378" i="6"/>
  <c r="Q184" i="6"/>
  <c r="Q336" i="6"/>
  <c r="Q143" i="6"/>
  <c r="Q402" i="6"/>
  <c r="Q429" i="6"/>
  <c r="Q494" i="6"/>
  <c r="Q268" i="6"/>
  <c r="Q380" i="6"/>
  <c r="Q245" i="6"/>
  <c r="Q331" i="6"/>
  <c r="Q278" i="6"/>
  <c r="Q267" i="6"/>
  <c r="Q279" i="6"/>
  <c r="Q157" i="6"/>
  <c r="Q366" i="6"/>
  <c r="Q329" i="6"/>
  <c r="Q499" i="6"/>
  <c r="Q548" i="6"/>
  <c r="Q265" i="6"/>
  <c r="Q470" i="6"/>
  <c r="Q300" i="6"/>
  <c r="Q419" i="6"/>
  <c r="Q206" i="6"/>
  <c r="Q317" i="6"/>
  <c r="Q342" i="6"/>
  <c r="Q136" i="6"/>
  <c r="Q203" i="6"/>
  <c r="Q291" i="6"/>
  <c r="Q266" i="6"/>
  <c r="Q115" i="6"/>
  <c r="Q229" i="6"/>
  <c r="Q345" i="6"/>
  <c r="Q508" i="6"/>
  <c r="Q60" i="6"/>
  <c r="Q478" i="6"/>
  <c r="Q426" i="6"/>
  <c r="Q28" i="6"/>
  <c r="Q254" i="6"/>
  <c r="Q20" i="6"/>
  <c r="Q536" i="6"/>
  <c r="Q473" i="6"/>
  <c r="Q16" i="6"/>
  <c r="Q164" i="6"/>
  <c r="Q437" i="6"/>
  <c r="Q275" i="6"/>
  <c r="Q374" i="6"/>
  <c r="Q341" i="6"/>
  <c r="Q503" i="6"/>
  <c r="Q208" i="6"/>
  <c r="Q296" i="6"/>
  <c r="Q510" i="6"/>
  <c r="Q557" i="6"/>
  <c r="Q129" i="6"/>
  <c r="Q306" i="6"/>
  <c r="Q547" i="6"/>
  <c r="Q32" i="6"/>
  <c r="Q257" i="6"/>
  <c r="Q413" i="6"/>
  <c r="Q435" i="6"/>
  <c r="Q192" i="6"/>
  <c r="Q86" i="6"/>
  <c r="Q237" i="6"/>
  <c r="Q64" i="6"/>
  <c r="Q505" i="6"/>
  <c r="Q89" i="6"/>
  <c r="Q101" i="6"/>
  <c r="Q84" i="6"/>
  <c r="Q147" i="6"/>
  <c r="Q156" i="6"/>
  <c r="Q21" i="6"/>
  <c r="Q24" i="6"/>
  <c r="Q212" i="6"/>
  <c r="Q327" i="6"/>
  <c r="Q515" i="6"/>
  <c r="Q338" i="6"/>
  <c r="Q531" i="6"/>
  <c r="Q527" i="6"/>
  <c r="Q119" i="6"/>
  <c r="Q373" i="6"/>
  <c r="Q390" i="6"/>
  <c r="Q344" i="6"/>
  <c r="Q448" i="6"/>
  <c r="Q351" i="6"/>
  <c r="Q70" i="6"/>
  <c r="Q401" i="6"/>
  <c r="Q310" i="6"/>
  <c r="Q177" i="6"/>
  <c r="Q130" i="6"/>
  <c r="Q213" i="6"/>
  <c r="Q347" i="6"/>
  <c r="Q479" i="6"/>
  <c r="Q234" i="6"/>
  <c r="Q248" i="6"/>
  <c r="Q455" i="6"/>
  <c r="Q483" i="6"/>
  <c r="Q106" i="6"/>
  <c r="Q258" i="6"/>
  <c r="Q365" i="6"/>
  <c r="Q295" i="6"/>
  <c r="Q445" i="6"/>
  <c r="Q439" i="6"/>
  <c r="Q52" i="6"/>
  <c r="Q222" i="6"/>
  <c r="Q72" i="6"/>
  <c r="Q357" i="6"/>
  <c r="Q433" i="6"/>
  <c r="Q56" i="6"/>
  <c r="Q154" i="6"/>
  <c r="Q544" i="6"/>
  <c r="Q49" i="6"/>
  <c r="Q514" i="6"/>
  <c r="Q489" i="6"/>
  <c r="Q541" i="6"/>
  <c r="Q242" i="6"/>
  <c r="Q218" i="6"/>
  <c r="Q418" i="6"/>
  <c r="Q200" i="6"/>
  <c r="Q322" i="6"/>
  <c r="Q333" i="6"/>
  <c r="Q253" i="6"/>
  <c r="Q155" i="6"/>
  <c r="Q241" i="6"/>
  <c r="Q352" i="6"/>
  <c r="Q148" i="6"/>
  <c r="Q396" i="6"/>
  <c r="Q309" i="6"/>
  <c r="Q43" i="6"/>
  <c r="Q308" i="6"/>
  <c r="Q421" i="6"/>
  <c r="Q195" i="6"/>
  <c r="Q231" i="6"/>
  <c r="Q297" i="6"/>
  <c r="Q126" i="6"/>
  <c r="Q432" i="6"/>
  <c r="Q137" i="6"/>
  <c r="Q10" i="6"/>
  <c r="Q312" i="6"/>
  <c r="Q104" i="6"/>
  <c r="Q472" i="6"/>
  <c r="Q447" i="6"/>
  <c r="Q30" i="6"/>
  <c r="Q48" i="6"/>
  <c r="Q339" i="6"/>
  <c r="Q288" i="6"/>
  <c r="Q216" i="6"/>
  <c r="Q255" i="6"/>
  <c r="Q358" i="6"/>
  <c r="Q529" i="6"/>
  <c r="Q481" i="6"/>
  <c r="Q40" i="6"/>
  <c r="Q431" i="6"/>
  <c r="Q262" i="6"/>
  <c r="Q442" i="6"/>
  <c r="Q387" i="6"/>
  <c r="Q217" i="6"/>
  <c r="Q159" i="6"/>
  <c r="Q201" i="6"/>
  <c r="Q85" i="6"/>
  <c r="Q377" i="6"/>
  <c r="Q420" i="6"/>
  <c r="Q424" i="6"/>
  <c r="Q204" i="6"/>
  <c r="Q180" i="6"/>
  <c r="Q125" i="6"/>
  <c r="Q466" i="6"/>
  <c r="Q460" i="6"/>
  <c r="Q188" i="6"/>
  <c r="Q507" i="6"/>
  <c r="Q319" i="6"/>
  <c r="Q408" i="6"/>
  <c r="Q428" i="6"/>
  <c r="Q181" i="6"/>
  <c r="Q549" i="6"/>
  <c r="Q399" i="6"/>
  <c r="Q381" i="6"/>
  <c r="Q415" i="6"/>
  <c r="Q92" i="6"/>
  <c r="Q65" i="6"/>
  <c r="Q251" i="6"/>
  <c r="Q175" i="6"/>
  <c r="Q173" i="6"/>
  <c r="Q350" i="6"/>
  <c r="Q414" i="6"/>
  <c r="Q57" i="6"/>
  <c r="Q454" i="6"/>
  <c r="Q276" i="6"/>
  <c r="Q301" i="6"/>
  <c r="Q491" i="6"/>
  <c r="Q198" i="6"/>
  <c r="Q243" i="6"/>
  <c r="Q58" i="6"/>
  <c r="Q82" i="6"/>
  <c r="Q407" i="6"/>
  <c r="Q37" i="6"/>
  <c r="Q93" i="6"/>
  <c r="Q417" i="6"/>
  <c r="Q244" i="6"/>
  <c r="Q450" i="6"/>
  <c r="Q506" i="6"/>
  <c r="Q79" i="6"/>
  <c r="Q467" i="6"/>
  <c r="Q116" i="6"/>
  <c r="Q45" i="6"/>
  <c r="Q552" i="6"/>
  <c r="Q370" i="6"/>
  <c r="Q197" i="6"/>
  <c r="Q315" i="6"/>
  <c r="Q495" i="6"/>
  <c r="Q383" i="6"/>
  <c r="Q462" i="6"/>
  <c r="Q501" i="6"/>
  <c r="Q142" i="6"/>
  <c r="Q513" i="6"/>
  <c r="Q194" i="6"/>
  <c r="Q185" i="6"/>
  <c r="Q522" i="6"/>
  <c r="Q207" i="6"/>
  <c r="Q233" i="6"/>
  <c r="Q436" i="6"/>
  <c r="Q284" i="6"/>
  <c r="Q411" i="6"/>
  <c r="Q361" i="6"/>
  <c r="Q55" i="6"/>
  <c r="Q215" i="6"/>
  <c r="Q410" i="6"/>
  <c r="Q98" i="6"/>
  <c r="Q363" i="6"/>
  <c r="Q530" i="6"/>
  <c r="Q179" i="6"/>
  <c r="Q50" i="6"/>
  <c r="Q103" i="6"/>
  <c r="Q313" i="6"/>
  <c r="Q303" i="6"/>
  <c r="Q389" i="6"/>
  <c r="Q406" i="6"/>
  <c r="Q385" i="6"/>
  <c r="Q318" i="6"/>
  <c r="Q151" i="6"/>
  <c r="Q223" i="6"/>
  <c r="Q519" i="6"/>
  <c r="Q353" i="6"/>
  <c r="Q334" i="6"/>
  <c r="Q128" i="6"/>
  <c r="Q496" i="6"/>
  <c r="Q320" i="6"/>
  <c r="Q59" i="6"/>
  <c r="Q219" i="6"/>
  <c r="Q190" i="6"/>
  <c r="Q360" i="6"/>
  <c r="Q224" i="6"/>
  <c r="Q398" i="6"/>
  <c r="Q252" i="6"/>
  <c r="Q425" i="6"/>
  <c r="Q550" i="6"/>
  <c r="Q285" i="6"/>
  <c r="Q13" i="6"/>
  <c r="Q118" i="6"/>
  <c r="Q430" i="6"/>
  <c r="Q314" i="6"/>
  <c r="Q375" i="6"/>
  <c r="Q305" i="6"/>
  <c r="Q105" i="6"/>
  <c r="Q170" i="6"/>
  <c r="Q96" i="6"/>
  <c r="Q61" i="6"/>
  <c r="Q90" i="6"/>
  <c r="Q323" i="6"/>
  <c r="Q526" i="6"/>
  <c r="Q226" i="6"/>
  <c r="Q492" i="6"/>
  <c r="Q286" i="6"/>
  <c r="Q141" i="6"/>
  <c r="Q31" i="6"/>
  <c r="Q273" i="6"/>
  <c r="Q123" i="6"/>
  <c r="Q504" i="6"/>
  <c r="Q532" i="6"/>
  <c r="Q537" i="6"/>
  <c r="Q53" i="6"/>
  <c r="Q139" i="6"/>
  <c r="Q394" i="6"/>
  <c r="Q512" i="6"/>
  <c r="Q332" i="6"/>
  <c r="Q400" i="6"/>
  <c r="Q146" i="6"/>
  <c r="Q87" i="6"/>
  <c r="Q485" i="6"/>
  <c r="Q292" i="6"/>
  <c r="Q193" i="6"/>
  <c r="Q46" i="6"/>
  <c r="Q281" i="6"/>
  <c r="Q343" i="6"/>
  <c r="Q187" i="6"/>
  <c r="Q523" i="6"/>
  <c r="Q264" i="6"/>
  <c r="Q260" i="6"/>
  <c r="Q457" i="6"/>
  <c r="Q546" i="6"/>
  <c r="Q117" i="6"/>
  <c r="Q88" i="6"/>
  <c r="Q486" i="6"/>
  <c r="Q554" i="6"/>
  <c r="Q543" i="6"/>
  <c r="Q189" i="6"/>
  <c r="Q29" i="6"/>
  <c r="Q376" i="6"/>
  <c r="Q199" i="6"/>
  <c r="Q196" i="6"/>
  <c r="Q368" i="6"/>
  <c r="Q183" i="6"/>
  <c r="Q538" i="6"/>
  <c r="Q14" i="6"/>
  <c r="Q551" i="6"/>
  <c r="Q69" i="6"/>
  <c r="Q440" i="6"/>
  <c r="Q497" i="6"/>
  <c r="Q95" i="6"/>
  <c r="Q97" i="6"/>
  <c r="Q172" i="6"/>
  <c r="Q298" i="6"/>
  <c r="Q17" i="6"/>
  <c r="Q461" i="6"/>
  <c r="Q149" i="6"/>
  <c r="Q534" i="6"/>
  <c r="Q109" i="6"/>
  <c r="Q63" i="6"/>
  <c r="Q324" i="6"/>
  <c r="Q346" i="6"/>
  <c r="Q364" i="6"/>
  <c r="Q556" i="6"/>
  <c r="Q468" i="6"/>
  <c r="Q525" i="6"/>
  <c r="Q163" i="6"/>
  <c r="Q283" i="6"/>
  <c r="Q367" i="6"/>
  <c r="Q107" i="6"/>
  <c r="Q122" i="6"/>
  <c r="Q25" i="6"/>
  <c r="Q239" i="6"/>
  <c r="Q423" i="6"/>
  <c r="Q246" i="6"/>
  <c r="Q153" i="6"/>
  <c r="Q391" i="6"/>
  <c r="Q443" i="6"/>
  <c r="Q348" i="6"/>
  <c r="Q26" i="6"/>
  <c r="Q238" i="6"/>
  <c r="Q102" i="6"/>
  <c r="Q463" i="6"/>
  <c r="Q66" i="6"/>
  <c r="Q434" i="6"/>
  <c r="Q211" i="6"/>
  <c r="Q220" i="6"/>
  <c r="Q412" i="6"/>
  <c r="Q500" i="6"/>
  <c r="Q36" i="6"/>
  <c r="Q372" i="6"/>
  <c r="Q39" i="6"/>
  <c r="Q174" i="6"/>
  <c r="Q542" i="6"/>
  <c r="Q41" i="6"/>
  <c r="Q131" i="6"/>
  <c r="Q110" i="6"/>
  <c r="Q71" i="6"/>
  <c r="Q161" i="6"/>
  <c r="Q484" i="6"/>
  <c r="Q516" i="6"/>
  <c r="Q271" i="6"/>
  <c r="Q518" i="6"/>
  <c r="Q249" i="6"/>
  <c r="Q289" i="6"/>
  <c r="Q44" i="6"/>
  <c r="Q144" i="6"/>
  <c r="Q113" i="6"/>
  <c r="Q81" i="6"/>
  <c r="Q299" i="6"/>
  <c r="Q427" i="6"/>
  <c r="Q68" i="6"/>
  <c r="Q209" i="6"/>
  <c r="Q379" i="6"/>
  <c r="Q545" i="6"/>
  <c r="Q477" i="6"/>
  <c r="Q441" i="6"/>
  <c r="Q112" i="6"/>
  <c r="Q186" i="6"/>
  <c r="Q158" i="6"/>
  <c r="Q54" i="6"/>
  <c r="Q8" i="6"/>
  <c r="Q34" i="6"/>
  <c r="Q75" i="6"/>
  <c r="Q77" i="6"/>
  <c r="Q134" i="6"/>
  <c r="Q230" i="6"/>
  <c r="Q355" i="6"/>
  <c r="Q405" i="6"/>
  <c r="Q9" i="6"/>
  <c r="Q386" i="6"/>
  <c r="Q108" i="6"/>
  <c r="Q91" i="6"/>
  <c r="Q269" i="6"/>
  <c r="Q326" i="6"/>
  <c r="Q280" i="6"/>
  <c r="Q304" i="6"/>
  <c r="Q404" i="6"/>
  <c r="Q171" i="6"/>
  <c r="Q214" i="6"/>
  <c r="Q382" i="6"/>
  <c r="Q11" i="6"/>
  <c r="Q80" i="6"/>
  <c r="Q540" i="6"/>
  <c r="Q182" i="6"/>
  <c r="Q232" i="6"/>
  <c r="Q349" i="6"/>
  <c r="Q520" i="6"/>
  <c r="Q302" i="6"/>
  <c r="Q227" i="6"/>
  <c r="Q469" i="6"/>
  <c r="Q517" i="6"/>
  <c r="Q19" i="6"/>
  <c r="Q277" i="6"/>
  <c r="Q127" i="6"/>
  <c r="Q487" i="6"/>
  <c r="Q397" i="6"/>
  <c r="Q15" i="6"/>
  <c r="Q502" i="6"/>
  <c r="Q165" i="6"/>
  <c r="Q22" i="6"/>
  <c r="Q362" i="6"/>
  <c r="Q228" i="6"/>
  <c r="Q167" i="6"/>
  <c r="Q166" i="6"/>
  <c r="Q178" i="6"/>
  <c r="Q169" i="6"/>
  <c r="Q509" i="6"/>
  <c r="Q464" i="6"/>
  <c r="Q35" i="6"/>
  <c r="Q74" i="6"/>
  <c r="Q294" i="6"/>
  <c r="Q121" i="6"/>
  <c r="Q395" i="6"/>
  <c r="Q535" i="6"/>
  <c r="Q33" i="6"/>
  <c r="Q67" i="6"/>
  <c r="Q444" i="6"/>
  <c r="Q23" i="6"/>
  <c r="Q316" i="6"/>
  <c r="Q135" i="6"/>
  <c r="Q191" i="6"/>
  <c r="Q453" i="6"/>
  <c r="Q555" i="6"/>
  <c r="Q168" i="6"/>
  <c r="Q51" i="6"/>
  <c r="Q152" i="6"/>
  <c r="Q471" i="6"/>
  <c r="Q392" i="6"/>
  <c r="Q452" i="6"/>
  <c r="Q524" i="6"/>
  <c r="Q99" i="6"/>
  <c r="Q38" i="6"/>
  <c r="Q553" i="6"/>
  <c r="Q259" i="6"/>
  <c r="Q446" i="6"/>
  <c r="Q359" i="6"/>
  <c r="Q449" i="6"/>
  <c r="Q263" i="6"/>
  <c r="Q145" i="6"/>
  <c r="Q235" i="6"/>
  <c r="Q465" i="6"/>
  <c r="Q62" i="6"/>
  <c r="Q132" i="6"/>
  <c r="Q150" i="6"/>
  <c r="Q307" i="6"/>
  <c r="Q293" i="6"/>
  <c r="Q210" i="6"/>
  <c r="Q78" i="6"/>
  <c r="Q73" i="6"/>
  <c r="Q27" i="6"/>
  <c r="Q325" i="6"/>
  <c r="Q100" i="6"/>
  <c r="Q270" i="6"/>
  <c r="Q409" i="6"/>
  <c r="Q493" i="6"/>
  <c r="Q459" i="6"/>
  <c r="Q388" i="6"/>
  <c r="Q488" i="6"/>
  <c r="Q482" i="6"/>
  <c r="Q133" i="6"/>
  <c r="Q138" i="6"/>
  <c r="Q354" i="6"/>
  <c r="Q94" i="6"/>
  <c r="Q120" i="6"/>
  <c r="Q369" i="6"/>
  <c r="Q498" i="6"/>
  <c r="Q480" i="6"/>
  <c r="Q274" i="6"/>
  <c r="Q290" i="6"/>
  <c r="Q256" i="6"/>
  <c r="Q356" i="6"/>
  <c r="Q282" i="6"/>
  <c r="Q528" i="6"/>
  <c r="Q475" i="6"/>
  <c r="Q371" i="6"/>
  <c r="Q47" i="6"/>
  <c r="Q321" i="6"/>
  <c r="O310" i="6"/>
  <c r="O48" i="6"/>
  <c r="O84" i="6"/>
  <c r="O546" i="6"/>
  <c r="O521" i="6"/>
  <c r="O421" i="6"/>
  <c r="O522" i="6"/>
  <c r="O462" i="6"/>
  <c r="O214" i="6"/>
  <c r="O361" i="6"/>
  <c r="O252" i="6"/>
  <c r="O60" i="6"/>
  <c r="O426" i="6"/>
  <c r="O486" i="6"/>
  <c r="O371" i="6"/>
  <c r="O254" i="6"/>
  <c r="O58" i="6"/>
  <c r="O128" i="6"/>
  <c r="O23" i="6"/>
  <c r="O320" i="6"/>
  <c r="O40" i="6"/>
  <c r="O391" i="6"/>
  <c r="O436" i="6"/>
  <c r="O473" i="6"/>
  <c r="O514" i="6"/>
  <c r="O418" i="6"/>
  <c r="O434" i="6"/>
  <c r="O325" i="6"/>
  <c r="O236" i="6"/>
  <c r="O415" i="6"/>
  <c r="O234" i="6"/>
  <c r="O464" i="6"/>
  <c r="O14" i="6"/>
  <c r="O410" i="6"/>
  <c r="O541" i="6"/>
  <c r="O225" i="6"/>
  <c r="O322" i="6"/>
  <c r="O308" i="6"/>
  <c r="O204" i="6"/>
  <c r="O384" i="6"/>
  <c r="O300" i="6"/>
  <c r="O337" i="6"/>
  <c r="O156" i="6"/>
  <c r="O370" i="6"/>
  <c r="O79" i="6"/>
  <c r="O414" i="6"/>
  <c r="O117" i="6"/>
  <c r="O455" i="6"/>
  <c r="O393" i="6"/>
  <c r="O291" i="6"/>
  <c r="O544" i="6"/>
  <c r="O30" i="6"/>
  <c r="O89" i="6"/>
  <c r="O195" i="6"/>
  <c r="O272" i="6"/>
  <c r="O507" i="6"/>
  <c r="O221" i="6"/>
  <c r="O450" i="6"/>
  <c r="O416" i="6"/>
  <c r="O334" i="6"/>
  <c r="O243" i="6"/>
  <c r="O259" i="6"/>
  <c r="O346" i="6"/>
  <c r="O557" i="6"/>
  <c r="O388" i="6"/>
  <c r="O152" i="6"/>
  <c r="O471" i="6"/>
  <c r="O189" i="6"/>
  <c r="O162" i="6"/>
  <c r="O76" i="6"/>
  <c r="O311" i="6"/>
  <c r="O250" i="6"/>
  <c r="O328" i="6"/>
  <c r="O126" i="6"/>
  <c r="O205" i="6"/>
  <c r="O292" i="6"/>
  <c r="O344" i="6"/>
  <c r="O247" i="6"/>
  <c r="O197" i="6"/>
  <c r="O533" i="6"/>
  <c r="O42" i="6"/>
  <c r="O198" i="6"/>
  <c r="O103" i="6"/>
  <c r="O107" i="6"/>
  <c r="O18" i="6"/>
  <c r="O445" i="6"/>
  <c r="O140" i="6"/>
  <c r="O491" i="6"/>
  <c r="O317" i="6"/>
  <c r="O385" i="6"/>
  <c r="O131" i="6"/>
  <c r="O92" i="6"/>
  <c r="O318" i="6"/>
  <c r="O456" i="6"/>
  <c r="O37" i="6"/>
  <c r="O340" i="6"/>
  <c r="O257" i="6"/>
  <c r="O377" i="6"/>
  <c r="O363" i="6"/>
  <c r="O104" i="6"/>
  <c r="O50" i="6"/>
  <c r="O181" i="6"/>
  <c r="O275" i="6"/>
  <c r="O542" i="6"/>
  <c r="O389" i="6"/>
  <c r="O88" i="6"/>
  <c r="O109" i="6"/>
  <c r="O120" i="6"/>
  <c r="O179" i="6"/>
  <c r="O57" i="6"/>
  <c r="O374" i="6"/>
  <c r="O319" i="6"/>
  <c r="O495" i="6"/>
  <c r="O381" i="6"/>
  <c r="O193" i="6"/>
  <c r="O298" i="6"/>
  <c r="O545" i="6"/>
  <c r="O482" i="6"/>
  <c r="O69" i="6"/>
  <c r="O116" i="6"/>
  <c r="O497" i="6"/>
  <c r="O454" i="6"/>
  <c r="O101" i="6"/>
  <c r="O306" i="6"/>
  <c r="O345" i="6"/>
  <c r="O20" i="6"/>
  <c r="O536" i="6"/>
  <c r="O547" i="6"/>
  <c r="O176" i="6"/>
  <c r="O16" i="6"/>
  <c r="O164" i="6"/>
  <c r="O233" i="6"/>
  <c r="O142" i="6"/>
  <c r="O435" i="6"/>
  <c r="O208" i="6"/>
  <c r="O237" i="6"/>
  <c r="O505" i="6"/>
  <c r="O251" i="6"/>
  <c r="O129" i="6"/>
  <c r="O70" i="6"/>
  <c r="O218" i="6"/>
  <c r="O336" i="6"/>
  <c r="O390" i="6"/>
  <c r="O265" i="6"/>
  <c r="O284" i="6"/>
  <c r="O327" i="6"/>
  <c r="O86" i="6"/>
  <c r="O373" i="6"/>
  <c r="O420" i="6"/>
  <c r="O7" i="6"/>
  <c r="O351" i="6"/>
  <c r="O401" i="6"/>
  <c r="O52" i="6"/>
  <c r="O45" i="6"/>
  <c r="O335" i="6"/>
  <c r="O489" i="6"/>
  <c r="O448" i="6"/>
  <c r="O242" i="6"/>
  <c r="O439" i="6"/>
  <c r="O402" i="6"/>
  <c r="O429" i="6"/>
  <c r="O422" i="6"/>
  <c r="O261" i="6"/>
  <c r="O207" i="6"/>
  <c r="O168" i="6"/>
  <c r="O143" i="6"/>
  <c r="O333" i="6"/>
  <c r="O253" i="6"/>
  <c r="O137" i="6"/>
  <c r="O424" i="6"/>
  <c r="O433" i="6"/>
  <c r="O155" i="6"/>
  <c r="O49" i="6"/>
  <c r="O222" i="6"/>
  <c r="O552" i="6"/>
  <c r="O72" i="6"/>
  <c r="O353" i="6"/>
  <c r="O229" i="6"/>
  <c r="O200" i="6"/>
  <c r="O297" i="6"/>
  <c r="O412" i="6"/>
  <c r="O528" i="6"/>
  <c r="O276" i="6"/>
  <c r="O43" i="6"/>
  <c r="O364" i="6"/>
  <c r="O556" i="6"/>
  <c r="O479" i="6"/>
  <c r="O28" i="6"/>
  <c r="O41" i="6"/>
  <c r="O365" i="6"/>
  <c r="O46" i="6"/>
  <c r="O264" i="6"/>
  <c r="O139" i="6"/>
  <c r="O359" i="6"/>
  <c r="O277" i="6"/>
  <c r="O132" i="6"/>
  <c r="O299" i="6"/>
  <c r="O451" i="6"/>
  <c r="O172" i="6"/>
  <c r="O288" i="6"/>
  <c r="O266" i="6"/>
  <c r="O32" i="6"/>
  <c r="O177" i="6"/>
  <c r="O303" i="6"/>
  <c r="O515" i="6"/>
  <c r="O438" i="6"/>
  <c r="O474" i="6"/>
  <c r="O472" i="6"/>
  <c r="O56" i="6"/>
  <c r="O551" i="6"/>
  <c r="O510" i="6"/>
  <c r="O372" i="6"/>
  <c r="O470" i="6"/>
  <c r="O539" i="6"/>
  <c r="O413" i="6"/>
  <c r="O180" i="6"/>
  <c r="O85" i="6"/>
  <c r="O125" i="6"/>
  <c r="O466" i="6"/>
  <c r="O419" i="6"/>
  <c r="O549" i="6"/>
  <c r="O399" i="6"/>
  <c r="O350" i="6"/>
  <c r="O428" i="6"/>
  <c r="O331" i="6"/>
  <c r="O538" i="6"/>
  <c r="O358" i="6"/>
  <c r="O53" i="6"/>
  <c r="O502" i="6"/>
  <c r="O61" i="6"/>
  <c r="O59" i="6"/>
  <c r="O460" i="6"/>
  <c r="O21" i="6"/>
  <c r="O24" i="6"/>
  <c r="O173" i="6"/>
  <c r="O408" i="6"/>
  <c r="O114" i="6"/>
  <c r="O407" i="6"/>
  <c r="O417" i="6"/>
  <c r="O494" i="6"/>
  <c r="O301" i="6"/>
  <c r="O330" i="6"/>
  <c r="O93" i="6"/>
  <c r="O268" i="6"/>
  <c r="O175" i="6"/>
  <c r="O188" i="6"/>
  <c r="O341" i="6"/>
  <c r="O342" i="6"/>
  <c r="O231" i="6"/>
  <c r="O513" i="6"/>
  <c r="O506" i="6"/>
  <c r="O347" i="6"/>
  <c r="O212" i="6"/>
  <c r="O508" i="6"/>
  <c r="O185" i="6"/>
  <c r="O213" i="6"/>
  <c r="O490" i="6"/>
  <c r="O411" i="6"/>
  <c r="O55" i="6"/>
  <c r="O144" i="6"/>
  <c r="O554" i="6"/>
  <c r="O458" i="6"/>
  <c r="O211" i="6"/>
  <c r="O215" i="6"/>
  <c r="O12" i="6"/>
  <c r="O206" i="6"/>
  <c r="O202" i="6"/>
  <c r="O278" i="6"/>
  <c r="O227" i="6"/>
  <c r="O165" i="6"/>
  <c r="O483" i="6"/>
  <c r="O296" i="6"/>
  <c r="O71" i="6"/>
  <c r="O329" i="6"/>
  <c r="O447" i="6"/>
  <c r="O312" i="6"/>
  <c r="O309" i="6"/>
  <c r="O313" i="6"/>
  <c r="O147" i="6"/>
  <c r="O174" i="6"/>
  <c r="O83" i="6"/>
  <c r="O160" i="6"/>
  <c r="O406" i="6"/>
  <c r="O122" i="6"/>
  <c r="O245" i="6"/>
  <c r="O154" i="6"/>
  <c r="O223" i="6"/>
  <c r="O357" i="6"/>
  <c r="O527" i="6"/>
  <c r="O100" i="6"/>
  <c r="O90" i="6"/>
  <c r="O516" i="6"/>
  <c r="O465" i="6"/>
  <c r="O249" i="6"/>
  <c r="O44" i="6"/>
  <c r="O307" i="6"/>
  <c r="O427" i="6"/>
  <c r="O375" i="6"/>
  <c r="O315" i="6"/>
  <c r="O503" i="6"/>
  <c r="O480" i="6"/>
  <c r="O294" i="6"/>
  <c r="O387" i="6"/>
  <c r="O437" i="6"/>
  <c r="O267" i="6"/>
  <c r="O444" i="6"/>
  <c r="O161" i="6"/>
  <c r="O484" i="6"/>
  <c r="O271" i="6"/>
  <c r="O118" i="6"/>
  <c r="O449" i="6"/>
  <c r="O159" i="6"/>
  <c r="O304" i="6"/>
  <c r="O186" i="6"/>
  <c r="O64" i="6"/>
  <c r="O105" i="6"/>
  <c r="O110" i="6"/>
  <c r="O151" i="6"/>
  <c r="O171" i="6"/>
  <c r="O262" i="6"/>
  <c r="O442" i="6"/>
  <c r="O518" i="6"/>
  <c r="O224" i="6"/>
  <c r="O270" i="6"/>
  <c r="O209" i="6"/>
  <c r="O158" i="6"/>
  <c r="O201" i="6"/>
  <c r="O532" i="6"/>
  <c r="O67" i="6"/>
  <c r="O496" i="6"/>
  <c r="O256" i="6"/>
  <c r="O190" i="6"/>
  <c r="O305" i="6"/>
  <c r="O203" i="6"/>
  <c r="O96" i="6"/>
  <c r="O343" i="6"/>
  <c r="O512" i="6"/>
  <c r="O285" i="6"/>
  <c r="O135" i="6"/>
  <c r="O19" i="6"/>
  <c r="O314" i="6"/>
  <c r="O248" i="6"/>
  <c r="O378" i="6"/>
  <c r="O537" i="6"/>
  <c r="O366" i="6"/>
  <c r="O170" i="6"/>
  <c r="O10" i="6"/>
  <c r="O501" i="6"/>
  <c r="O157" i="6"/>
  <c r="O339" i="6"/>
  <c r="O130" i="6"/>
  <c r="O380" i="6"/>
  <c r="O192" i="6"/>
  <c r="O149" i="6"/>
  <c r="O95" i="6"/>
  <c r="O258" i="6"/>
  <c r="O281" i="6"/>
  <c r="O216" i="6"/>
  <c r="O338" i="6"/>
  <c r="O396" i="6"/>
  <c r="O124" i="6"/>
  <c r="O17" i="6"/>
  <c r="O65" i="6"/>
  <c r="O499" i="6"/>
  <c r="O295" i="6"/>
  <c r="O241" i="6"/>
  <c r="O534" i="6"/>
  <c r="O440" i="6"/>
  <c r="O97" i="6"/>
  <c r="O54" i="6"/>
  <c r="O356" i="6"/>
  <c r="O316" i="6"/>
  <c r="O119" i="6"/>
  <c r="O529" i="6"/>
  <c r="O511" i="6"/>
  <c r="O548" i="6"/>
  <c r="O136" i="6"/>
  <c r="O287" i="6"/>
  <c r="O113" i="6"/>
  <c r="O409" i="6"/>
  <c r="O382" i="6"/>
  <c r="O22" i="6"/>
  <c r="O369" i="6"/>
  <c r="O34" i="6"/>
  <c r="O367" i="6"/>
  <c r="O468" i="6"/>
  <c r="O246" i="6"/>
  <c r="O255" i="6"/>
  <c r="O461" i="6"/>
  <c r="O352" i="6"/>
  <c r="O184" i="6"/>
  <c r="O423" i="6"/>
  <c r="O63" i="6"/>
  <c r="O324" i="6"/>
  <c r="O244" i="6"/>
  <c r="O239" i="6"/>
  <c r="O25" i="6"/>
  <c r="O463" i="6"/>
  <c r="O134" i="6"/>
  <c r="O98" i="6"/>
  <c r="O519" i="6"/>
  <c r="O115" i="6"/>
  <c r="O467" i="6"/>
  <c r="O127" i="6"/>
  <c r="O82" i="6"/>
  <c r="O133" i="6"/>
  <c r="O182" i="6"/>
  <c r="O78" i="6"/>
  <c r="O355" i="6"/>
  <c r="O282" i="6"/>
  <c r="O500" i="6"/>
  <c r="O481" i="6"/>
  <c r="O523" i="6"/>
  <c r="O321" i="6"/>
  <c r="O226" i="6"/>
  <c r="O488" i="6"/>
  <c r="O286" i="6"/>
  <c r="O400" i="6"/>
  <c r="O183" i="6"/>
  <c r="O273" i="6"/>
  <c r="O290" i="6"/>
  <c r="O238" i="6"/>
  <c r="O150" i="6"/>
  <c r="O230" i="6"/>
  <c r="O260" i="6"/>
  <c r="O11" i="6"/>
  <c r="O217" i="6"/>
  <c r="O543" i="6"/>
  <c r="O332" i="6"/>
  <c r="O27" i="6"/>
  <c r="O379" i="6"/>
  <c r="O279" i="6"/>
  <c r="O106" i="6"/>
  <c r="O526" i="6"/>
  <c r="O394" i="6"/>
  <c r="O210" i="6"/>
  <c r="O141" i="6"/>
  <c r="O485" i="6"/>
  <c r="O274" i="6"/>
  <c r="O349" i="6"/>
  <c r="O525" i="6"/>
  <c r="O477" i="6"/>
  <c r="O146" i="6"/>
  <c r="O81" i="6"/>
  <c r="O405" i="6"/>
  <c r="O75" i="6"/>
  <c r="O283" i="6"/>
  <c r="O9" i="6"/>
  <c r="O293" i="6"/>
  <c r="O386" i="6"/>
  <c r="O112" i="6"/>
  <c r="O326" i="6"/>
  <c r="O102" i="6"/>
  <c r="O111" i="6"/>
  <c r="O26" i="6"/>
  <c r="O289" i="6"/>
  <c r="O196" i="6"/>
  <c r="O77" i="6"/>
  <c r="O68" i="6"/>
  <c r="O540" i="6"/>
  <c r="O530" i="6"/>
  <c r="O441" i="6"/>
  <c r="O80" i="6"/>
  <c r="O8" i="6"/>
  <c r="O469" i="6"/>
  <c r="O232" i="6"/>
  <c r="O520" i="6"/>
  <c r="O194" i="6"/>
  <c r="O487" i="6"/>
  <c r="O397" i="6"/>
  <c r="O29" i="6"/>
  <c r="O15" i="6"/>
  <c r="O476" i="6"/>
  <c r="O431" i="6"/>
  <c r="O280" i="6"/>
  <c r="O360" i="6"/>
  <c r="O368" i="6"/>
  <c r="O404" i="6"/>
  <c r="O240" i="6"/>
  <c r="O36" i="6"/>
  <c r="O39" i="6"/>
  <c r="O323" i="6"/>
  <c r="O228" i="6"/>
  <c r="O108" i="6"/>
  <c r="O453" i="6"/>
  <c r="O478" i="6"/>
  <c r="O348" i="6"/>
  <c r="O302" i="6"/>
  <c r="O395" i="6"/>
  <c r="O145" i="6"/>
  <c r="O504" i="6"/>
  <c r="O66" i="6"/>
  <c r="O74" i="6"/>
  <c r="O376" i="6"/>
  <c r="O362" i="6"/>
  <c r="O517" i="6"/>
  <c r="O235" i="6"/>
  <c r="O555" i="6"/>
  <c r="O509" i="6"/>
  <c r="O392" i="6"/>
  <c r="O550" i="6"/>
  <c r="O457" i="6"/>
  <c r="O91" i="6"/>
  <c r="O169" i="6"/>
  <c r="O535" i="6"/>
  <c r="O269" i="6"/>
  <c r="O432" i="6"/>
  <c r="O383" i="6"/>
  <c r="O493" i="6"/>
  <c r="O94" i="6"/>
  <c r="O47" i="6"/>
  <c r="O354" i="6"/>
  <c r="O219" i="6"/>
  <c r="O163" i="6"/>
  <c r="O13" i="6"/>
  <c r="O263" i="6"/>
  <c r="O403" i="6"/>
  <c r="O446" i="6"/>
  <c r="O166" i="6"/>
  <c r="O73" i="6"/>
  <c r="O425" i="6"/>
  <c r="O443" i="6"/>
  <c r="O398" i="6"/>
  <c r="O33" i="6"/>
  <c r="O220" i="6"/>
  <c r="O187" i="6"/>
  <c r="O167" i="6"/>
  <c r="O38" i="6"/>
  <c r="O87" i="6"/>
  <c r="O524" i="6"/>
  <c r="O459" i="6"/>
  <c r="O51" i="6"/>
  <c r="O99" i="6"/>
  <c r="O498" i="6"/>
  <c r="O492" i="6"/>
  <c r="O430" i="6"/>
  <c r="O138" i="6"/>
  <c r="O123" i="6"/>
  <c r="O191" i="6"/>
  <c r="O452" i="6"/>
  <c r="O148" i="6"/>
  <c r="O121" i="6"/>
  <c r="O35" i="6"/>
  <c r="O475" i="6"/>
  <c r="O531" i="6"/>
  <c r="O199" i="6"/>
  <c r="O553" i="6"/>
  <c r="O62" i="6"/>
  <c r="O31" i="6"/>
  <c r="O153" i="6"/>
  <c r="O178" i="6"/>
  <c r="T345" i="6"/>
  <c r="T89" i="6"/>
  <c r="T322" i="6"/>
  <c r="T300" i="6"/>
  <c r="T176" i="6"/>
  <c r="T93" i="6"/>
  <c r="T406" i="6"/>
  <c r="T154" i="6"/>
  <c r="T415" i="6"/>
  <c r="T385" i="6"/>
  <c r="T120" i="6"/>
  <c r="T529" i="6"/>
  <c r="T343" i="6"/>
  <c r="T290" i="6"/>
  <c r="T447" i="6"/>
  <c r="T474" i="6"/>
  <c r="T292" i="6"/>
  <c r="T156" i="6"/>
  <c r="T458" i="6"/>
  <c r="T56" i="6"/>
  <c r="T438" i="6"/>
  <c r="T462" i="6"/>
  <c r="T507" i="6"/>
  <c r="T79" i="6"/>
  <c r="T342" i="6"/>
  <c r="T221" i="6"/>
  <c r="T414" i="6"/>
  <c r="T416" i="6"/>
  <c r="T94" i="6"/>
  <c r="T371" i="6"/>
  <c r="T528" i="6"/>
  <c r="T337" i="6"/>
  <c r="T197" i="6"/>
  <c r="T533" i="6"/>
  <c r="T195" i="6"/>
  <c r="T544" i="6"/>
  <c r="T340" i="6"/>
  <c r="T422" i="6"/>
  <c r="T451" i="6"/>
  <c r="T399" i="6"/>
  <c r="T234" i="6"/>
  <c r="T107" i="6"/>
  <c r="T60" i="6"/>
  <c r="T287" i="6"/>
  <c r="T225" i="6"/>
  <c r="T114" i="6"/>
  <c r="T470" i="6"/>
  <c r="T424" i="6"/>
  <c r="T411" i="6"/>
  <c r="T117" i="6"/>
  <c r="T393" i="6"/>
  <c r="T119" i="6"/>
  <c r="T111" i="6"/>
  <c r="T511" i="6"/>
  <c r="T476" i="6"/>
  <c r="T138" i="6"/>
  <c r="T291" i="6"/>
  <c r="T49" i="6"/>
  <c r="T402" i="6"/>
  <c r="T418" i="6"/>
  <c r="T417" i="6"/>
  <c r="T275" i="6"/>
  <c r="T532" i="6"/>
  <c r="T229" i="6"/>
  <c r="T445" i="6"/>
  <c r="T140" i="6"/>
  <c r="T70" i="6"/>
  <c r="T456" i="6"/>
  <c r="T126" i="6"/>
  <c r="T205" i="6"/>
  <c r="T143" i="6"/>
  <c r="T76" i="6"/>
  <c r="T203" i="6"/>
  <c r="T37" i="6"/>
  <c r="T101" i="6"/>
  <c r="T125" i="6"/>
  <c r="T325" i="6"/>
  <c r="T215" i="6"/>
  <c r="T103" i="6"/>
  <c r="T88" i="6"/>
  <c r="T464" i="6"/>
  <c r="T378" i="6"/>
  <c r="T500" i="6"/>
  <c r="T491" i="6"/>
  <c r="T288" i="6"/>
  <c r="T501" i="6"/>
  <c r="T245" i="6"/>
  <c r="T428" i="6"/>
  <c r="T64" i="6"/>
  <c r="T426" i="6"/>
  <c r="T131" i="6"/>
  <c r="T537" i="6"/>
  <c r="T23" i="6"/>
  <c r="T20" i="6"/>
  <c r="T536" i="6"/>
  <c r="T30" i="6"/>
  <c r="T164" i="6"/>
  <c r="T513" i="6"/>
  <c r="T84" i="6"/>
  <c r="T21" i="6"/>
  <c r="T522" i="6"/>
  <c r="T374" i="6"/>
  <c r="T341" i="6"/>
  <c r="T381" i="6"/>
  <c r="T208" i="6"/>
  <c r="T278" i="6"/>
  <c r="T193" i="6"/>
  <c r="T478" i="6"/>
  <c r="T233" i="6"/>
  <c r="T18" i="6"/>
  <c r="T16" i="6"/>
  <c r="T194" i="6"/>
  <c r="T521" i="6"/>
  <c r="T192" i="6"/>
  <c r="T86" i="6"/>
  <c r="T255" i="6"/>
  <c r="T96" i="6"/>
  <c r="T151" i="6"/>
  <c r="T363" i="6"/>
  <c r="T548" i="6"/>
  <c r="T473" i="6"/>
  <c r="T116" i="6"/>
  <c r="T266" i="6"/>
  <c r="T32" i="6"/>
  <c r="T177" i="6"/>
  <c r="T306" i="6"/>
  <c r="T390" i="6"/>
  <c r="T547" i="6"/>
  <c r="T344" i="6"/>
  <c r="T313" i="6"/>
  <c r="T494" i="6"/>
  <c r="T389" i="6"/>
  <c r="T380" i="6"/>
  <c r="T24" i="6"/>
  <c r="T172" i="6"/>
  <c r="T212" i="6"/>
  <c r="T515" i="6"/>
  <c r="T239" i="6"/>
  <c r="T463" i="6"/>
  <c r="T165" i="6"/>
  <c r="T124" i="6"/>
  <c r="T134" i="6"/>
  <c r="T296" i="6"/>
  <c r="T466" i="6"/>
  <c r="T370" i="6"/>
  <c r="T347" i="6"/>
  <c r="T350" i="6"/>
  <c r="T336" i="6"/>
  <c r="T265" i="6"/>
  <c r="T52" i="6"/>
  <c r="T45" i="6"/>
  <c r="T335" i="6"/>
  <c r="T351" i="6"/>
  <c r="T439" i="6"/>
  <c r="T253" i="6"/>
  <c r="T420" i="6"/>
  <c r="T7" i="6"/>
  <c r="T436" i="6"/>
  <c r="T222" i="6"/>
  <c r="T429" i="6"/>
  <c r="T541" i="6"/>
  <c r="T328" i="6"/>
  <c r="T519" i="6"/>
  <c r="T357" i="6"/>
  <c r="T122" i="6"/>
  <c r="T538" i="6"/>
  <c r="T334" i="6"/>
  <c r="T184" i="6"/>
  <c r="T200" i="6"/>
  <c r="T514" i="6"/>
  <c r="T12" i="6"/>
  <c r="T546" i="6"/>
  <c r="T312" i="6"/>
  <c r="T309" i="6"/>
  <c r="T308" i="6"/>
  <c r="T223" i="6"/>
  <c r="T185" i="6"/>
  <c r="T421" i="6"/>
  <c r="T433" i="6"/>
  <c r="T175" i="6"/>
  <c r="T272" i="6"/>
  <c r="T549" i="6"/>
  <c r="T242" i="6"/>
  <c r="T231" i="6"/>
  <c r="T432" i="6"/>
  <c r="T384" i="6"/>
  <c r="T333" i="6"/>
  <c r="T180" i="6"/>
  <c r="T276" i="6"/>
  <c r="T179" i="6"/>
  <c r="T407" i="6"/>
  <c r="T57" i="6"/>
  <c r="T497" i="6"/>
  <c r="T142" i="6"/>
  <c r="T257" i="6"/>
  <c r="T261" i="6"/>
  <c r="T487" i="6"/>
  <c r="T161" i="6"/>
  <c r="T29" i="6"/>
  <c r="T163" i="6"/>
  <c r="T99" i="6"/>
  <c r="T453" i="6"/>
  <c r="T83" i="6"/>
  <c r="T303" i="6"/>
  <c r="T479" i="6"/>
  <c r="T556" i="6"/>
  <c r="T327" i="6"/>
  <c r="T401" i="6"/>
  <c r="T472" i="6"/>
  <c r="T204" i="6"/>
  <c r="T539" i="6"/>
  <c r="T435" i="6"/>
  <c r="T319" i="6"/>
  <c r="T216" i="6"/>
  <c r="T168" i="6"/>
  <c r="T279" i="6"/>
  <c r="T502" i="6"/>
  <c r="T66" i="6"/>
  <c r="T85" i="6"/>
  <c r="T72" i="6"/>
  <c r="T181" i="6"/>
  <c r="T460" i="6"/>
  <c r="T188" i="6"/>
  <c r="T413" i="6"/>
  <c r="T330" i="6"/>
  <c r="T267" i="6"/>
  <c r="T534" i="6"/>
  <c r="T298" i="6"/>
  <c r="T248" i="6"/>
  <c r="T95" i="6"/>
  <c r="T246" i="6"/>
  <c r="T65" i="6"/>
  <c r="T251" i="6"/>
  <c r="T543" i="6"/>
  <c r="T454" i="6"/>
  <c r="T268" i="6"/>
  <c r="T301" i="6"/>
  <c r="T198" i="6"/>
  <c r="T419" i="6"/>
  <c r="T173" i="6"/>
  <c r="T241" i="6"/>
  <c r="T311" i="6"/>
  <c r="T284" i="6"/>
  <c r="T236" i="6"/>
  <c r="T155" i="6"/>
  <c r="T408" i="6"/>
  <c r="T244" i="6"/>
  <c r="T373" i="6"/>
  <c r="T310" i="6"/>
  <c r="T137" i="6"/>
  <c r="T506" i="6"/>
  <c r="T315" i="6"/>
  <c r="T495" i="6"/>
  <c r="T450" i="6"/>
  <c r="T211" i="6"/>
  <c r="T383" i="6"/>
  <c r="T467" i="6"/>
  <c r="T250" i="6"/>
  <c r="T104" i="6"/>
  <c r="T412" i="6"/>
  <c r="T48" i="6"/>
  <c r="T43" i="6"/>
  <c r="T10" i="6"/>
  <c r="T555" i="6"/>
  <c r="T361" i="6"/>
  <c r="T42" i="6"/>
  <c r="T136" i="6"/>
  <c r="T379" i="6"/>
  <c r="T468" i="6"/>
  <c r="T51" i="6"/>
  <c r="T469" i="6"/>
  <c r="T218" i="6"/>
  <c r="T130" i="6"/>
  <c r="T247" i="6"/>
  <c r="T490" i="6"/>
  <c r="T252" i="6"/>
  <c r="T115" i="6"/>
  <c r="T174" i="6"/>
  <c r="T367" i="6"/>
  <c r="T423" i="6"/>
  <c r="T258" i="6"/>
  <c r="T297" i="6"/>
  <c r="T50" i="6"/>
  <c r="T353" i="6"/>
  <c r="T377" i="6"/>
  <c r="T214" i="6"/>
  <c r="T509" i="6"/>
  <c r="T92" i="6"/>
  <c r="T483" i="6"/>
  <c r="T110" i="6"/>
  <c r="T410" i="6"/>
  <c r="T259" i="6"/>
  <c r="T67" i="6"/>
  <c r="T444" i="6"/>
  <c r="T127" i="6"/>
  <c r="T182" i="6"/>
  <c r="T294" i="6"/>
  <c r="T354" i="6"/>
  <c r="T442" i="6"/>
  <c r="T285" i="6"/>
  <c r="T302" i="6"/>
  <c r="T135" i="6"/>
  <c r="T201" i="6"/>
  <c r="T437" i="6"/>
  <c r="T105" i="6"/>
  <c r="T320" i="6"/>
  <c r="T323" i="6"/>
  <c r="T376" i="6"/>
  <c r="T332" i="6"/>
  <c r="T249" i="6"/>
  <c r="T159" i="6"/>
  <c r="T209" i="6"/>
  <c r="T427" i="6"/>
  <c r="T186" i="6"/>
  <c r="T527" i="6"/>
  <c r="T71" i="6"/>
  <c r="T496" i="6"/>
  <c r="T152" i="6"/>
  <c r="T59" i="6"/>
  <c r="T256" i="6"/>
  <c r="T139" i="6"/>
  <c r="T355" i="6"/>
  <c r="T550" i="6"/>
  <c r="T190" i="6"/>
  <c r="T360" i="6"/>
  <c r="T289" i="6"/>
  <c r="T270" i="6"/>
  <c r="T307" i="6"/>
  <c r="T314" i="6"/>
  <c r="T317" i="6"/>
  <c r="T100" i="6"/>
  <c r="T61" i="6"/>
  <c r="T128" i="6"/>
  <c r="T388" i="6"/>
  <c r="T526" i="6"/>
  <c r="T271" i="6"/>
  <c r="T282" i="6"/>
  <c r="T19" i="6"/>
  <c r="T505" i="6"/>
  <c r="T243" i="6"/>
  <c r="T392" i="6"/>
  <c r="T394" i="6"/>
  <c r="T226" i="6"/>
  <c r="T13" i="6"/>
  <c r="T520" i="6"/>
  <c r="T286" i="6"/>
  <c r="T118" i="6"/>
  <c r="T400" i="6"/>
  <c r="T31" i="6"/>
  <c r="T158" i="6"/>
  <c r="T273" i="6"/>
  <c r="T123" i="6"/>
  <c r="T504" i="6"/>
  <c r="T147" i="6"/>
  <c r="T206" i="6"/>
  <c r="T366" i="6"/>
  <c r="T53" i="6"/>
  <c r="T170" i="6"/>
  <c r="T58" i="6"/>
  <c r="T523" i="6"/>
  <c r="T264" i="6"/>
  <c r="T492" i="6"/>
  <c r="T224" i="6"/>
  <c r="T55" i="6"/>
  <c r="T396" i="6"/>
  <c r="T149" i="6"/>
  <c r="T14" i="6"/>
  <c r="T157" i="6"/>
  <c r="T551" i="6"/>
  <c r="T17" i="6"/>
  <c r="T329" i="6"/>
  <c r="T69" i="6"/>
  <c r="T295" i="6"/>
  <c r="T339" i="6"/>
  <c r="T331" i="6"/>
  <c r="T440" i="6"/>
  <c r="T338" i="6"/>
  <c r="T324" i="6"/>
  <c r="T97" i="6"/>
  <c r="T486" i="6"/>
  <c r="T358" i="6"/>
  <c r="T254" i="6"/>
  <c r="T63" i="6"/>
  <c r="T499" i="6"/>
  <c r="T321" i="6"/>
  <c r="T232" i="6"/>
  <c r="T409" i="6"/>
  <c r="T369" i="6"/>
  <c r="T552" i="6"/>
  <c r="T364" i="6"/>
  <c r="T352" i="6"/>
  <c r="T109" i="6"/>
  <c r="T74" i="6"/>
  <c r="T508" i="6"/>
  <c r="T213" i="6"/>
  <c r="T202" i="6"/>
  <c r="T98" i="6"/>
  <c r="T346" i="6"/>
  <c r="T25" i="6"/>
  <c r="T531" i="6"/>
  <c r="T525" i="6"/>
  <c r="T461" i="6"/>
  <c r="T489" i="6"/>
  <c r="T160" i="6"/>
  <c r="T144" i="6"/>
  <c r="T434" i="6"/>
  <c r="T237" i="6"/>
  <c r="T36" i="6"/>
  <c r="T510" i="6"/>
  <c r="T220" i="6"/>
  <c r="T503" i="6"/>
  <c r="T455" i="6"/>
  <c r="T318" i="6"/>
  <c r="T480" i="6"/>
  <c r="T90" i="6"/>
  <c r="T512" i="6"/>
  <c r="T365" i="6"/>
  <c r="T238" i="6"/>
  <c r="T132" i="6"/>
  <c r="T73" i="6"/>
  <c r="T27" i="6"/>
  <c r="T305" i="6"/>
  <c r="T368" i="6"/>
  <c r="T554" i="6"/>
  <c r="T465" i="6"/>
  <c r="T9" i="6"/>
  <c r="T75" i="6"/>
  <c r="T518" i="6"/>
  <c r="T375" i="6"/>
  <c r="T404" i="6"/>
  <c r="T545" i="6"/>
  <c r="T82" i="6"/>
  <c r="T387" i="6"/>
  <c r="T26" i="6"/>
  <c r="T210" i="6"/>
  <c r="T150" i="6"/>
  <c r="T386" i="6"/>
  <c r="T431" i="6"/>
  <c r="T448" i="6"/>
  <c r="T207" i="6"/>
  <c r="T372" i="6"/>
  <c r="T281" i="6"/>
  <c r="T484" i="6"/>
  <c r="T382" i="6"/>
  <c r="T34" i="6"/>
  <c r="T299" i="6"/>
  <c r="T293" i="6"/>
  <c r="T391" i="6"/>
  <c r="T326" i="6"/>
  <c r="T106" i="6"/>
  <c r="T8" i="6"/>
  <c r="T230" i="6"/>
  <c r="T217" i="6"/>
  <c r="T441" i="6"/>
  <c r="T112" i="6"/>
  <c r="T485" i="6"/>
  <c r="T77" i="6"/>
  <c r="T80" i="6"/>
  <c r="T349" i="6"/>
  <c r="T62" i="6"/>
  <c r="T196" i="6"/>
  <c r="T405" i="6"/>
  <c r="T530" i="6"/>
  <c r="T129" i="6"/>
  <c r="T11" i="6"/>
  <c r="T146" i="6"/>
  <c r="T81" i="6"/>
  <c r="T141" i="6"/>
  <c r="T540" i="6"/>
  <c r="T348" i="6"/>
  <c r="T557" i="6"/>
  <c r="T260" i="6"/>
  <c r="T277" i="6"/>
  <c r="T477" i="6"/>
  <c r="T183" i="6"/>
  <c r="T227" i="6"/>
  <c r="T41" i="6"/>
  <c r="T28" i="6"/>
  <c r="T516" i="6"/>
  <c r="T15" i="6"/>
  <c r="T280" i="6"/>
  <c r="T102" i="6"/>
  <c r="T517" i="6"/>
  <c r="T240" i="6"/>
  <c r="T39" i="6"/>
  <c r="T397" i="6"/>
  <c r="T283" i="6"/>
  <c r="T228" i="6"/>
  <c r="T108" i="6"/>
  <c r="T304" i="6"/>
  <c r="T54" i="6"/>
  <c r="T171" i="6"/>
  <c r="T452" i="6"/>
  <c r="T178" i="6"/>
  <c r="T167" i="6"/>
  <c r="T68" i="6"/>
  <c r="T145" i="6"/>
  <c r="T166" i="6"/>
  <c r="T22" i="6"/>
  <c r="T524" i="6"/>
  <c r="T44" i="6"/>
  <c r="T498" i="6"/>
  <c r="T33" i="6"/>
  <c r="T235" i="6"/>
  <c r="T459" i="6"/>
  <c r="T457" i="6"/>
  <c r="T91" i="6"/>
  <c r="T535" i="6"/>
  <c r="T191" i="6"/>
  <c r="T269" i="6"/>
  <c r="T187" i="6"/>
  <c r="T443" i="6"/>
  <c r="T362" i="6"/>
  <c r="T395" i="6"/>
  <c r="T113" i="6"/>
  <c r="T199" i="6"/>
  <c r="T398" i="6"/>
  <c r="T38" i="6"/>
  <c r="T153" i="6"/>
  <c r="T47" i="6"/>
  <c r="T359" i="6"/>
  <c r="T169" i="6"/>
  <c r="T274" i="6"/>
  <c r="T78" i="6"/>
  <c r="T542" i="6"/>
  <c r="T493" i="6"/>
  <c r="T87" i="6"/>
  <c r="T425" i="6"/>
  <c r="T40" i="6"/>
  <c r="T488" i="6"/>
  <c r="T449" i="6"/>
  <c r="T430" i="6"/>
  <c r="T356" i="6"/>
  <c r="T263" i="6"/>
  <c r="T189" i="6"/>
  <c r="T482" i="6"/>
  <c r="T471" i="6"/>
  <c r="T133" i="6"/>
  <c r="T162" i="6"/>
  <c r="T148" i="6"/>
  <c r="T316" i="6"/>
  <c r="T35" i="6"/>
  <c r="T553" i="6"/>
  <c r="T475" i="6"/>
  <c r="T262" i="6"/>
  <c r="T121" i="6"/>
  <c r="T46" i="6"/>
  <c r="T219" i="6"/>
  <c r="T481" i="6"/>
  <c r="T403" i="6"/>
  <c r="T446" i="6"/>
  <c r="R157" i="4"/>
  <c r="R134" i="4"/>
  <c r="R87" i="4"/>
  <c r="R378" i="4"/>
  <c r="R431" i="4"/>
  <c r="R121" i="4"/>
  <c r="R113" i="4"/>
  <c r="R473" i="4"/>
  <c r="R414" i="4"/>
  <c r="R469" i="4"/>
  <c r="R329" i="4"/>
  <c r="R287" i="4"/>
  <c r="R98" i="4"/>
  <c r="R294" i="4"/>
  <c r="R54" i="4"/>
  <c r="R107" i="4"/>
  <c r="R506" i="4"/>
  <c r="R418" i="4"/>
  <c r="R110" i="4"/>
  <c r="R488" i="4"/>
  <c r="R42" i="4"/>
  <c r="R80" i="4"/>
  <c r="R201" i="4"/>
  <c r="R376" i="4"/>
  <c r="R218" i="4"/>
  <c r="R547" i="4"/>
  <c r="R305" i="4"/>
  <c r="R514" i="4"/>
  <c r="R92" i="4"/>
  <c r="R202" i="4"/>
  <c r="R50" i="4"/>
  <c r="R101" i="4"/>
  <c r="R332" i="4"/>
  <c r="R419" i="4"/>
  <c r="R474" i="4"/>
  <c r="R260" i="4"/>
  <c r="R234" i="4"/>
  <c r="R421" i="4"/>
  <c r="R374" i="4"/>
  <c r="R551" i="4"/>
  <c r="R276" i="4"/>
  <c r="R219" i="4"/>
  <c r="R38" i="4"/>
  <c r="R138" i="4"/>
  <c r="R18" i="4"/>
  <c r="R26" i="4"/>
  <c r="R410" i="4"/>
  <c r="R150" i="4"/>
  <c r="R270" i="4"/>
  <c r="R44" i="4"/>
  <c r="R303" i="4"/>
  <c r="R245" i="4"/>
  <c r="R553" i="4"/>
  <c r="R25" i="4"/>
  <c r="R96" i="4"/>
  <c r="R37" i="4"/>
  <c r="R278" i="4"/>
  <c r="R76" i="4"/>
  <c r="R548" i="4"/>
  <c r="R438" i="4"/>
  <c r="R539" i="4"/>
  <c r="R70" i="4"/>
  <c r="R545" i="4"/>
  <c r="R203" i="4"/>
  <c r="R117" i="4"/>
  <c r="R78" i="4"/>
  <c r="R476" i="4"/>
  <c r="R490" i="4"/>
  <c r="R248" i="4"/>
  <c r="R295" i="4"/>
  <c r="R184" i="4"/>
  <c r="R90" i="4"/>
  <c r="R132" i="4"/>
  <c r="R336" i="4"/>
  <c r="R66" i="4"/>
  <c r="R355" i="4"/>
  <c r="R455" i="4"/>
  <c r="R159" i="4"/>
  <c r="R288" i="4"/>
  <c r="R416" i="4"/>
  <c r="R321" i="4"/>
  <c r="R58" i="4"/>
  <c r="R163" i="4"/>
  <c r="R549" i="4"/>
  <c r="R111" i="4"/>
  <c r="R169" i="4"/>
  <c r="R535" i="4"/>
  <c r="R200" i="4"/>
  <c r="R433" i="4"/>
  <c r="R35" i="4"/>
  <c r="R259" i="4"/>
  <c r="R191" i="4"/>
  <c r="R408" i="4"/>
  <c r="R133" i="4"/>
  <c r="R64" i="4"/>
  <c r="R9" i="4"/>
  <c r="R448" i="4"/>
  <c r="R503" i="4"/>
  <c r="R174" i="4"/>
  <c r="R536" i="4"/>
  <c r="R512" i="4"/>
  <c r="R364" i="4"/>
  <c r="R341" i="4"/>
  <c r="R412" i="4"/>
  <c r="R555" i="4"/>
  <c r="R255" i="4"/>
  <c r="R304" i="4"/>
  <c r="R212" i="4"/>
  <c r="R297" i="4"/>
  <c r="R116" i="4"/>
  <c r="R463" i="4"/>
  <c r="R162" i="4"/>
  <c r="R251" i="4"/>
  <c r="R250" i="4"/>
  <c r="R391" i="4"/>
  <c r="R177" i="4"/>
  <c r="R509" i="4"/>
  <c r="R451" i="4"/>
  <c r="R441" i="4"/>
  <c r="R492" i="4"/>
  <c r="R257" i="4"/>
  <c r="R552" i="4"/>
  <c r="R313" i="4"/>
  <c r="R483" i="4"/>
  <c r="R14" i="4"/>
  <c r="R164" i="4"/>
  <c r="R166" i="4"/>
  <c r="R450" i="4"/>
  <c r="R207" i="4"/>
  <c r="R160" i="4"/>
  <c r="R77" i="4"/>
  <c r="R79" i="4"/>
  <c r="R120" i="4"/>
  <c r="R93" i="4"/>
  <c r="R307" i="4"/>
  <c r="R131" i="4"/>
  <c r="R216" i="4"/>
  <c r="R171" i="4"/>
  <c r="R349" i="4"/>
  <c r="R51" i="4"/>
  <c r="R516" i="4"/>
  <c r="R395" i="4"/>
  <c r="R34" i="4"/>
  <c r="R122" i="4"/>
  <c r="R94" i="4"/>
  <c r="R109" i="4"/>
  <c r="R348" i="4"/>
  <c r="R258" i="4"/>
  <c r="R142" i="4"/>
  <c r="R290" i="4"/>
  <c r="R220" i="4"/>
  <c r="R136" i="4"/>
  <c r="R88" i="4"/>
  <c r="R149" i="4"/>
  <c r="R406" i="4"/>
  <c r="R377" i="4"/>
  <c r="R498" i="4"/>
  <c r="R185" i="4"/>
  <c r="R366" i="4"/>
  <c r="R331" i="4"/>
  <c r="R344" i="4"/>
  <c r="R253" i="4"/>
  <c r="R504" i="4"/>
  <c r="R505" i="4"/>
  <c r="R33" i="4"/>
  <c r="R100" i="4"/>
  <c r="R143" i="4"/>
  <c r="R462" i="4"/>
  <c r="R89" i="4"/>
  <c r="R320" i="4"/>
  <c r="R437" i="4"/>
  <c r="R365" i="4"/>
  <c r="R272" i="4"/>
  <c r="R256" i="4"/>
  <c r="R362" i="4"/>
  <c r="R323" i="4"/>
  <c r="R274" i="4"/>
  <c r="R345" i="4"/>
  <c r="R263" i="4"/>
  <c r="R215" i="4"/>
  <c r="R41" i="4"/>
  <c r="R27" i="4"/>
  <c r="R244" i="4"/>
  <c r="R491" i="4"/>
  <c r="R397" i="4"/>
  <c r="R440" i="4"/>
  <c r="R425" i="4"/>
  <c r="R19" i="4"/>
  <c r="R529" i="4"/>
  <c r="R151" i="4"/>
  <c r="R221" i="4"/>
  <c r="R62" i="4"/>
  <c r="R481" i="4"/>
  <c r="R68" i="4"/>
  <c r="R531" i="4"/>
  <c r="R367" i="4"/>
  <c r="R137" i="4"/>
  <c r="R339" i="4"/>
  <c r="R181" i="4"/>
  <c r="R526" i="4"/>
  <c r="R39" i="4"/>
  <c r="R533" i="4"/>
  <c r="R380" i="4"/>
  <c r="R460" i="4"/>
  <c r="R252" i="4"/>
  <c r="R125" i="4"/>
  <c r="R358" i="4"/>
  <c r="R208" i="4"/>
  <c r="R205" i="4"/>
  <c r="R466" i="4"/>
  <c r="R375" i="4"/>
  <c r="R243" i="4"/>
  <c r="R382" i="4"/>
  <c r="R40" i="4"/>
  <c r="R487" i="4"/>
  <c r="R271" i="4"/>
  <c r="R233" i="4"/>
  <c r="R447" i="4"/>
  <c r="R361" i="4"/>
  <c r="R231" i="4"/>
  <c r="R261" i="4"/>
  <c r="R346" i="4"/>
  <c r="R246" i="4"/>
  <c r="R240" i="4"/>
  <c r="R63" i="4"/>
  <c r="R443" i="4"/>
  <c r="R528" i="4"/>
  <c r="R102" i="4"/>
  <c r="R432" i="4"/>
  <c r="R312" i="4"/>
  <c r="R452" i="4"/>
  <c r="R343" i="4"/>
  <c r="R328" i="4"/>
  <c r="R422" i="4"/>
  <c r="R334" i="4"/>
  <c r="R398" i="4"/>
  <c r="R214" i="4"/>
  <c r="R423" i="4"/>
  <c r="R74" i="4"/>
  <c r="R194" i="4"/>
  <c r="R22" i="4"/>
  <c r="R510" i="4"/>
  <c r="R196" i="4"/>
  <c r="R281" i="4"/>
  <c r="R470" i="4"/>
  <c r="R420" i="4"/>
  <c r="R385" i="4"/>
  <c r="R85" i="4"/>
  <c r="R81" i="4"/>
  <c r="R286" i="4"/>
  <c r="R508" i="4"/>
  <c r="R459" i="4"/>
  <c r="R298" i="4"/>
  <c r="R381" i="4"/>
  <c r="R167" i="4"/>
  <c r="R180" i="4"/>
  <c r="R282" i="4"/>
  <c r="R482" i="4"/>
  <c r="R480" i="4"/>
  <c r="R124" i="4"/>
  <c r="R30" i="4"/>
  <c r="R541" i="4"/>
  <c r="R99" i="4"/>
  <c r="R518" i="4"/>
  <c r="R238" i="4"/>
  <c r="R48" i="4"/>
  <c r="R523" i="4"/>
  <c r="R461" i="4"/>
  <c r="R225" i="4"/>
  <c r="R520" i="4"/>
  <c r="R525" i="4"/>
  <c r="R326" i="4"/>
  <c r="R513" i="4"/>
  <c r="R11" i="4"/>
  <c r="R369" i="4"/>
  <c r="R235" i="4"/>
  <c r="R434" i="4"/>
  <c r="R335" i="4"/>
  <c r="R315" i="4"/>
  <c r="R392" i="4"/>
  <c r="R417" i="4"/>
  <c r="R84" i="4"/>
  <c r="R146" i="4"/>
  <c r="R279" i="4"/>
  <c r="R352" i="4"/>
  <c r="R538" i="4"/>
  <c r="R404" i="4"/>
  <c r="R114" i="4"/>
  <c r="R106" i="4"/>
  <c r="R266" i="4"/>
  <c r="R486" i="4"/>
  <c r="R73" i="4"/>
  <c r="R46" i="4"/>
  <c r="R67" i="4"/>
  <c r="R308" i="4"/>
  <c r="R65" i="4"/>
  <c r="R165" i="4"/>
  <c r="R16" i="4"/>
  <c r="R301" i="4"/>
  <c r="R289" i="4"/>
  <c r="R399" i="4"/>
  <c r="R357" i="4"/>
  <c r="R176" i="4"/>
  <c r="R363" i="4"/>
  <c r="R532" i="4"/>
  <c r="R53" i="4"/>
  <c r="R15" i="4"/>
  <c r="R501" i="4"/>
  <c r="R230" i="4"/>
  <c r="R71" i="4"/>
  <c r="R284" i="4"/>
  <c r="R189" i="4"/>
  <c r="R429" i="4"/>
  <c r="R190" i="4"/>
  <c r="R556" i="4"/>
  <c r="R449" i="4"/>
  <c r="R236" i="4"/>
  <c r="R105" i="4"/>
  <c r="R103" i="4"/>
  <c r="R28" i="4"/>
  <c r="R129" i="4"/>
  <c r="R269" i="4"/>
  <c r="R519" i="4"/>
  <c r="R306" i="4"/>
  <c r="R330" i="4"/>
  <c r="R540" i="4"/>
  <c r="R72" i="4"/>
  <c r="R186" i="4"/>
  <c r="R82" i="4"/>
  <c r="R554" i="4"/>
  <c r="R354" i="4"/>
  <c r="R495" i="4"/>
  <c r="R29" i="4"/>
  <c r="R337" i="4"/>
  <c r="R384" i="4"/>
  <c r="R17" i="4"/>
  <c r="R457" i="4"/>
  <c r="R154" i="4"/>
  <c r="R311" i="4"/>
  <c r="R453" i="4"/>
  <c r="R52" i="4"/>
  <c r="R467" i="4"/>
  <c r="R293" i="4"/>
  <c r="R353" i="4"/>
  <c r="R86" i="4"/>
  <c r="R534" i="4"/>
  <c r="R161" i="4"/>
  <c r="R494" i="4"/>
  <c r="R340" i="4"/>
  <c r="R479" i="4"/>
  <c r="R444" i="4"/>
  <c r="R368" i="4"/>
  <c r="R543" i="4"/>
  <c r="R360" i="4"/>
  <c r="R153" i="4"/>
  <c r="R43" i="4"/>
  <c r="R45" i="4"/>
  <c r="R396" i="4"/>
  <c r="R223" i="4"/>
  <c r="R430" i="4"/>
  <c r="R427" i="4"/>
  <c r="R445" i="4"/>
  <c r="R464" i="4"/>
  <c r="R172" i="4"/>
  <c r="R468" i="4"/>
  <c r="R155" i="4"/>
  <c r="R557" i="4"/>
  <c r="R351" i="4"/>
  <c r="R145" i="4"/>
  <c r="R206" i="4"/>
  <c r="R497" i="4"/>
  <c r="R458" i="4"/>
  <c r="R511" i="4"/>
  <c r="R517" i="4"/>
  <c r="R95" i="4"/>
  <c r="R239" i="4"/>
  <c r="R112" i="4"/>
  <c r="R350" i="4"/>
  <c r="R411" i="4"/>
  <c r="R409" i="4"/>
  <c r="R316" i="4"/>
  <c r="R127" i="4"/>
  <c r="R327" i="4"/>
  <c r="R372" i="4"/>
  <c r="R302" i="4"/>
  <c r="R265" i="4"/>
  <c r="R537" i="4"/>
  <c r="R371" i="4"/>
  <c r="R472" i="4"/>
  <c r="R91" i="4"/>
  <c r="R118" i="4"/>
  <c r="R158" i="4"/>
  <c r="R273" i="4"/>
  <c r="R32" i="4"/>
  <c r="R173" i="4"/>
  <c r="R178" i="4"/>
  <c r="R283" i="4"/>
  <c r="R446" i="4"/>
  <c r="R141" i="4"/>
  <c r="R471" i="4"/>
  <c r="R268" i="4"/>
  <c r="R390" i="4"/>
  <c r="R373" i="4"/>
  <c r="R499" i="4"/>
  <c r="R264" i="4"/>
  <c r="R465" i="4"/>
  <c r="R542" i="4"/>
  <c r="R527" i="4"/>
  <c r="R342" i="4"/>
  <c r="R299" i="4"/>
  <c r="R135" i="4"/>
  <c r="R56" i="4"/>
  <c r="R379" i="4"/>
  <c r="R300" i="4"/>
  <c r="R400" i="4"/>
  <c r="R97" i="4"/>
  <c r="R280" i="4"/>
  <c r="R310" i="4"/>
  <c r="R383" i="4"/>
  <c r="R388" i="4"/>
  <c r="R426" i="4"/>
  <c r="R324" i="4"/>
  <c r="R104" i="4"/>
  <c r="R21" i="4"/>
  <c r="R333" i="4"/>
  <c r="R275" i="4"/>
  <c r="R123" i="4"/>
  <c r="R140" i="4"/>
  <c r="R222" i="4"/>
  <c r="R262" i="4"/>
  <c r="R387" i="4"/>
  <c r="R49" i="4"/>
  <c r="R493" i="4"/>
  <c r="R175" i="4"/>
  <c r="R442" i="4"/>
  <c r="R144" i="4"/>
  <c r="R237" i="4"/>
  <c r="R254" i="4"/>
  <c r="R546" i="4"/>
  <c r="R347" i="4"/>
  <c r="R31" i="4"/>
  <c r="R402" i="4"/>
  <c r="R292" i="4"/>
  <c r="R226" i="4"/>
  <c r="R108" i="4"/>
  <c r="R115" i="4"/>
  <c r="R119" i="4"/>
  <c r="R204" i="4"/>
  <c r="R524" i="4"/>
  <c r="R394" i="4"/>
  <c r="R211" i="4"/>
  <c r="R489" i="4"/>
  <c r="R69" i="4"/>
  <c r="R152" i="4"/>
  <c r="R405" i="4"/>
  <c r="R195" i="4"/>
  <c r="R477" i="4"/>
  <c r="R386" i="4"/>
  <c r="R485" i="4"/>
  <c r="R139" i="4"/>
  <c r="R148" i="4"/>
  <c r="R13" i="4"/>
  <c r="R156" i="4"/>
  <c r="R241" i="4"/>
  <c r="R522" i="4"/>
  <c r="R456" i="4"/>
  <c r="R359" i="4"/>
  <c r="R309" i="4"/>
  <c r="R188" i="4"/>
  <c r="R126" i="4"/>
  <c r="R428" i="4"/>
  <c r="R8" i="4"/>
  <c r="R550" i="4"/>
  <c r="R439" i="4"/>
  <c r="R478" i="4"/>
  <c r="R183" i="4"/>
  <c r="R317" i="4"/>
  <c r="R454" i="4"/>
  <c r="R322" i="4"/>
  <c r="R232" i="4"/>
  <c r="R197" i="4"/>
  <c r="R530" i="4"/>
  <c r="R484" i="4"/>
  <c r="R475" i="4"/>
  <c r="R356" i="4"/>
  <c r="R182" i="4"/>
  <c r="R170" i="4"/>
  <c r="R198" i="4"/>
  <c r="R249" i="4"/>
  <c r="R407" i="4"/>
  <c r="R83" i="4"/>
  <c r="R291" i="4"/>
  <c r="R187" i="4"/>
  <c r="R217" i="4"/>
  <c r="R436" i="4"/>
  <c r="R47" i="4"/>
  <c r="R370" i="4"/>
  <c r="R75" i="4"/>
  <c r="R502" i="4"/>
  <c r="R60" i="4"/>
  <c r="R544" i="4"/>
  <c r="R128" i="4"/>
  <c r="R285" i="4"/>
  <c r="R403" i="4"/>
  <c r="R228" i="4"/>
  <c r="R389" i="4"/>
  <c r="R179" i="4"/>
  <c r="R57" i="4"/>
  <c r="R325" i="4"/>
  <c r="R415" i="4"/>
  <c r="R277" i="4"/>
  <c r="R168" i="4"/>
  <c r="R130" i="4"/>
  <c r="R500" i="4"/>
  <c r="R413" i="4"/>
  <c r="R209" i="4"/>
  <c r="R507" i="4"/>
  <c r="R10" i="4"/>
  <c r="R7" i="4"/>
  <c r="R23" i="4"/>
  <c r="R192" i="4"/>
  <c r="R338" i="4"/>
  <c r="R55" i="4"/>
  <c r="R435" i="4"/>
  <c r="R61" i="4"/>
  <c r="R319" i="4"/>
  <c r="R213" i="4"/>
  <c r="R424" i="4"/>
  <c r="R224" i="4"/>
  <c r="R401" i="4"/>
  <c r="R59" i="4"/>
  <c r="R210" i="4"/>
  <c r="R199" i="4"/>
  <c r="R496" i="4"/>
  <c r="R24" i="4"/>
  <c r="R20" i="4"/>
  <c r="R318" i="4"/>
  <c r="R147" i="4"/>
  <c r="R242" i="4"/>
  <c r="R515" i="4"/>
  <c r="R193" i="4"/>
  <c r="R393" i="4"/>
  <c r="R227" i="4"/>
  <c r="R267" i="4"/>
  <c r="R229" i="4"/>
  <c r="R36" i="4"/>
  <c r="R247" i="4"/>
  <c r="R521" i="4"/>
  <c r="R12" i="4"/>
  <c r="R314" i="4"/>
  <c r="R296" i="4"/>
  <c r="W23" i="5"/>
  <c r="W43" i="5"/>
  <c r="W27" i="5"/>
  <c r="W15" i="5"/>
  <c r="W7" i="5"/>
  <c r="W59" i="5"/>
  <c r="W37" i="5"/>
  <c r="W77" i="5"/>
  <c r="W41" i="5"/>
  <c r="W44" i="5"/>
  <c r="W60" i="5"/>
  <c r="W35" i="5"/>
  <c r="W25" i="5"/>
  <c r="W49" i="5"/>
  <c r="W30" i="5"/>
  <c r="W67" i="5"/>
  <c r="W45" i="5"/>
  <c r="W72" i="5"/>
  <c r="W22" i="5"/>
  <c r="W12" i="5"/>
  <c r="W21" i="5"/>
  <c r="W9" i="5"/>
  <c r="W20" i="5"/>
  <c r="W68" i="5"/>
  <c r="W54" i="5"/>
  <c r="W10" i="5"/>
  <c r="W75" i="5"/>
  <c r="W65" i="5"/>
  <c r="W8" i="5"/>
  <c r="W66" i="5"/>
  <c r="W52" i="5"/>
  <c r="W38" i="5"/>
  <c r="W19" i="5"/>
  <c r="W69" i="5"/>
  <c r="W74" i="5"/>
  <c r="W70" i="5"/>
  <c r="W39" i="5"/>
  <c r="W40" i="5"/>
  <c r="W57" i="5"/>
  <c r="W58" i="5"/>
  <c r="W46" i="5"/>
  <c r="W71" i="5"/>
  <c r="W48" i="5"/>
  <c r="W55" i="5"/>
  <c r="W32" i="5"/>
  <c r="W11" i="5"/>
  <c r="W26" i="5"/>
  <c r="W16" i="5"/>
  <c r="W56" i="5"/>
  <c r="W14" i="5"/>
  <c r="W24" i="5"/>
  <c r="W53" i="5"/>
  <c r="W51" i="5"/>
  <c r="W18" i="5"/>
  <c r="W17" i="5"/>
  <c r="W61" i="5"/>
  <c r="W42" i="5"/>
  <c r="W13" i="5"/>
  <c r="W33" i="5"/>
  <c r="W62" i="5"/>
  <c r="W36" i="5"/>
  <c r="W64" i="5"/>
  <c r="W29" i="5"/>
  <c r="W34" i="5"/>
  <c r="W76" i="5"/>
  <c r="W47" i="5"/>
  <c r="W63" i="5"/>
  <c r="W31" i="5"/>
  <c r="W73" i="5"/>
  <c r="W50" i="5"/>
  <c r="W78" i="5"/>
  <c r="W28" i="5"/>
  <c r="P20" i="5"/>
  <c r="P68" i="5"/>
  <c r="P61" i="5"/>
  <c r="P49" i="5"/>
  <c r="P71" i="5"/>
  <c r="P43" i="5"/>
  <c r="P45" i="5"/>
  <c r="P10" i="5"/>
  <c r="P53" i="5"/>
  <c r="P23" i="5"/>
  <c r="P59" i="5"/>
  <c r="P27" i="5"/>
  <c r="P32" i="5"/>
  <c r="P66" i="5"/>
  <c r="P74" i="5"/>
  <c r="P37" i="5"/>
  <c r="P39" i="5"/>
  <c r="P52" i="5"/>
  <c r="P55" i="5"/>
  <c r="P38" i="5"/>
  <c r="P7" i="5"/>
  <c r="P60" i="5"/>
  <c r="P9" i="5"/>
  <c r="P51" i="5"/>
  <c r="P24" i="5"/>
  <c r="P48" i="5"/>
  <c r="P18" i="5"/>
  <c r="P12" i="5"/>
  <c r="P17" i="5"/>
  <c r="P69" i="5"/>
  <c r="P11" i="5"/>
  <c r="P70" i="5"/>
  <c r="P19" i="5"/>
  <c r="P41" i="5"/>
  <c r="P16" i="5"/>
  <c r="P35" i="5"/>
  <c r="P22" i="5"/>
  <c r="P77" i="5"/>
  <c r="P58" i="5"/>
  <c r="P21" i="5"/>
  <c r="P75" i="5"/>
  <c r="P46" i="5"/>
  <c r="P65" i="5"/>
  <c r="P8" i="5"/>
  <c r="P15" i="5"/>
  <c r="P40" i="5"/>
  <c r="P44" i="5"/>
  <c r="P57" i="5"/>
  <c r="P30" i="5"/>
  <c r="P26" i="5"/>
  <c r="P25" i="5"/>
  <c r="P67" i="5"/>
  <c r="P72" i="5"/>
  <c r="P56" i="5"/>
  <c r="P14" i="5"/>
  <c r="P54" i="5"/>
  <c r="P42" i="5"/>
  <c r="P36" i="5"/>
  <c r="P28" i="5"/>
  <c r="P33" i="5"/>
  <c r="P73" i="5"/>
  <c r="P76" i="5"/>
  <c r="P62" i="5"/>
  <c r="P78" i="5"/>
  <c r="P29" i="5"/>
  <c r="P64" i="5"/>
  <c r="P34" i="5"/>
  <c r="P13" i="5"/>
  <c r="P63" i="5"/>
  <c r="P47" i="5"/>
  <c r="P50" i="5"/>
  <c r="P31" i="5"/>
  <c r="Q40" i="5"/>
  <c r="Q55" i="5"/>
  <c r="Q32" i="5"/>
  <c r="Q74" i="5"/>
  <c r="Q41" i="5"/>
  <c r="Q35" i="5"/>
  <c r="Q30" i="5"/>
  <c r="Q72" i="5"/>
  <c r="Q21" i="5"/>
  <c r="Q48" i="5"/>
  <c r="Q12" i="5"/>
  <c r="Q20" i="5"/>
  <c r="Q53" i="5"/>
  <c r="Q59" i="5"/>
  <c r="Q70" i="5"/>
  <c r="Q39" i="5"/>
  <c r="Q68" i="5"/>
  <c r="Q45" i="5"/>
  <c r="Q46" i="5"/>
  <c r="Q8" i="5"/>
  <c r="Q57" i="5"/>
  <c r="Q71" i="5"/>
  <c r="Q19" i="5"/>
  <c r="Q37" i="5"/>
  <c r="Q60" i="5"/>
  <c r="Q10" i="5"/>
  <c r="Q27" i="5"/>
  <c r="Q26" i="5"/>
  <c r="Q7" i="5"/>
  <c r="Q73" i="5"/>
  <c r="Q36" i="5"/>
  <c r="Q42" i="5"/>
  <c r="Q29" i="5"/>
  <c r="Q31" i="5"/>
  <c r="Q13" i="5"/>
  <c r="Q76" i="5"/>
  <c r="S55" i="5"/>
  <c r="S15" i="5"/>
  <c r="S69" i="5"/>
  <c r="S11" i="5"/>
  <c r="S70" i="5"/>
  <c r="S26" i="5"/>
  <c r="S40" i="5"/>
  <c r="S13" i="5"/>
  <c r="S59" i="5"/>
  <c r="S19" i="5"/>
  <c r="S57" i="5"/>
  <c r="S66" i="5"/>
  <c r="S30" i="5"/>
  <c r="S37" i="5"/>
  <c r="S72" i="5"/>
  <c r="S38" i="5"/>
  <c r="S68" i="5"/>
  <c r="S44" i="5"/>
  <c r="S35" i="5"/>
  <c r="S58" i="5"/>
  <c r="S21" i="5"/>
  <c r="S75" i="5"/>
  <c r="S46" i="5"/>
  <c r="S65" i="5"/>
  <c r="S7" i="5"/>
  <c r="S8" i="5"/>
  <c r="S77" i="5"/>
  <c r="S16" i="5"/>
  <c r="S20" i="5"/>
  <c r="S71" i="5"/>
  <c r="S10" i="5"/>
  <c r="S23" i="5"/>
  <c r="S27" i="5"/>
  <c r="S32" i="5"/>
  <c r="S74" i="5"/>
  <c r="S39" i="5"/>
  <c r="S41" i="5"/>
  <c r="S67" i="5"/>
  <c r="S56" i="5"/>
  <c r="S24" i="5"/>
  <c r="S18" i="5"/>
  <c r="S49" i="5"/>
  <c r="S22" i="5"/>
  <c r="S52" i="5"/>
  <c r="S53" i="5"/>
  <c r="S60" i="5"/>
  <c r="S51" i="5"/>
  <c r="S9" i="5"/>
  <c r="S14" i="5"/>
  <c r="S54" i="5"/>
  <c r="S61" i="5"/>
  <c r="S17" i="5"/>
  <c r="S43" i="5"/>
  <c r="S25" i="5"/>
  <c r="S45" i="5"/>
  <c r="S48" i="5"/>
  <c r="S12" i="5"/>
  <c r="S47" i="5"/>
  <c r="S29" i="5"/>
  <c r="S28" i="5"/>
  <c r="S78" i="5"/>
  <c r="S64" i="5"/>
  <c r="S33" i="5"/>
  <c r="S42" i="5"/>
  <c r="S34" i="5"/>
  <c r="S73" i="5"/>
  <c r="S62" i="5"/>
  <c r="S50" i="5"/>
  <c r="S31" i="5"/>
  <c r="S63" i="5"/>
  <c r="S36" i="5"/>
  <c r="S76" i="5"/>
  <c r="V53" i="5"/>
  <c r="V21" i="5"/>
  <c r="V25" i="5"/>
  <c r="V71" i="5"/>
  <c r="V65" i="5"/>
  <c r="V46" i="5"/>
  <c r="V56" i="5"/>
  <c r="V60" i="5"/>
  <c r="V48" i="5"/>
  <c r="V9" i="5"/>
  <c r="V23" i="5"/>
  <c r="V14" i="5"/>
  <c r="V20" i="5"/>
  <c r="V8" i="5"/>
  <c r="V24" i="5"/>
  <c r="V59" i="5"/>
  <c r="V17" i="5"/>
  <c r="V69" i="5"/>
  <c r="V27" i="5"/>
  <c r="V43" i="5"/>
  <c r="V30" i="5"/>
  <c r="V72" i="5"/>
  <c r="V68" i="5"/>
  <c r="V75" i="5"/>
  <c r="V74" i="5"/>
  <c r="V41" i="5"/>
  <c r="V58" i="5"/>
  <c r="V78" i="5"/>
  <c r="V51" i="5"/>
  <c r="V49" i="5"/>
  <c r="V66" i="5"/>
  <c r="V10" i="5"/>
  <c r="V26" i="5"/>
  <c r="V7" i="5"/>
  <c r="V15" i="5"/>
  <c r="V77" i="5"/>
  <c r="V11" i="5"/>
  <c r="V37" i="5"/>
  <c r="V38" i="5"/>
  <c r="V12" i="5"/>
  <c r="V16" i="5"/>
  <c r="V70" i="5"/>
  <c r="V67" i="5"/>
  <c r="V39" i="5"/>
  <c r="V22" i="5"/>
  <c r="V32" i="5"/>
  <c r="V61" i="5"/>
  <c r="V57" i="5"/>
  <c r="V19" i="5"/>
  <c r="V35" i="5"/>
  <c r="V44" i="5"/>
  <c r="V52" i="5"/>
  <c r="V18" i="5"/>
  <c r="V54" i="5"/>
  <c r="V45" i="5"/>
  <c r="V40" i="5"/>
  <c r="V55" i="5"/>
  <c r="V62" i="5"/>
  <c r="V63" i="5"/>
  <c r="V36" i="5"/>
  <c r="V34" i="5"/>
  <c r="V42" i="5"/>
  <c r="V47" i="5"/>
  <c r="V76" i="5"/>
  <c r="V64" i="5"/>
  <c r="V28" i="5"/>
  <c r="V50" i="5"/>
  <c r="V29" i="5"/>
  <c r="V33" i="5"/>
  <c r="V13" i="5"/>
  <c r="V73" i="5"/>
  <c r="V31" i="5"/>
  <c r="W412" i="4"/>
  <c r="W221" i="4"/>
  <c r="W544" i="4"/>
  <c r="W476" i="4"/>
  <c r="W101" i="4"/>
  <c r="W427" i="4"/>
  <c r="W125" i="4"/>
  <c r="W472" i="4"/>
  <c r="W82" i="4"/>
  <c r="W244" i="4"/>
  <c r="W470" i="4"/>
  <c r="W321" i="4"/>
  <c r="W526" i="4"/>
  <c r="W557" i="4"/>
  <c r="W32" i="4"/>
  <c r="W61" i="4"/>
  <c r="W404" i="4"/>
  <c r="W119" i="4"/>
  <c r="W390" i="4"/>
  <c r="W437" i="4"/>
  <c r="W89" i="4"/>
  <c r="W508" i="4"/>
  <c r="W410" i="4"/>
  <c r="W62" i="4"/>
  <c r="W78" i="4"/>
  <c r="W382" i="4"/>
  <c r="W181" i="4"/>
  <c r="W554" i="4"/>
  <c r="W199" i="4"/>
  <c r="W178" i="4"/>
  <c r="W340" i="4"/>
  <c r="W105" i="4"/>
  <c r="W246" i="4"/>
  <c r="W339" i="4"/>
  <c r="W138" i="4"/>
  <c r="W538" i="4"/>
  <c r="W484" i="4"/>
  <c r="W109" i="4"/>
  <c r="W26" i="4"/>
  <c r="W354" i="4"/>
  <c r="W76" i="4"/>
  <c r="W469" i="4"/>
  <c r="W9" i="4"/>
  <c r="W313" i="4"/>
  <c r="W518" i="4"/>
  <c r="W438" i="4"/>
  <c r="W421" i="4"/>
  <c r="W324" i="4"/>
  <c r="W271" i="4"/>
  <c r="W64" i="4"/>
  <c r="W397" i="4"/>
  <c r="W255" i="4"/>
  <c r="W7" i="4"/>
  <c r="W371" i="4"/>
  <c r="W174" i="4"/>
  <c r="W308" i="4"/>
  <c r="W480" i="4"/>
  <c r="W99" i="4"/>
  <c r="W483" i="4"/>
  <c r="W531" i="4"/>
  <c r="W124" i="4"/>
  <c r="W311" i="4"/>
  <c r="W92" i="4"/>
  <c r="W102" i="4"/>
  <c r="W135" i="4"/>
  <c r="W189" i="4"/>
  <c r="W432" i="4"/>
  <c r="W493" i="4"/>
  <c r="W51" i="4"/>
  <c r="W290" i="4"/>
  <c r="W422" i="4"/>
  <c r="W414" i="4"/>
  <c r="W18" i="4"/>
  <c r="W514" i="4"/>
  <c r="W29" i="4"/>
  <c r="W123" i="4"/>
  <c r="W257" i="4"/>
  <c r="W91" i="4"/>
  <c r="W15" i="4"/>
  <c r="W137" i="4"/>
  <c r="W548" i="4"/>
  <c r="W450" i="4"/>
  <c r="W377" i="4"/>
  <c r="W385" i="4"/>
  <c r="W452" i="4"/>
  <c r="W517" i="4"/>
  <c r="W156" i="4"/>
  <c r="W503" i="4"/>
  <c r="W142" i="4"/>
  <c r="W462" i="4"/>
  <c r="W163" i="4"/>
  <c r="W299" i="4"/>
  <c r="W235" i="4"/>
  <c r="W429" i="4"/>
  <c r="W207" i="4"/>
  <c r="W523" i="4"/>
  <c r="W459" i="4"/>
  <c r="W455" i="4"/>
  <c r="W37" i="4"/>
  <c r="W247" i="4"/>
  <c r="W90" i="4"/>
  <c r="W158" i="4"/>
  <c r="W13" i="4"/>
  <c r="W80" i="4"/>
  <c r="W143" i="4"/>
  <c r="W486" i="4"/>
  <c r="W425" i="4"/>
  <c r="W516" i="4"/>
  <c r="W269" i="4"/>
  <c r="W117" i="4"/>
  <c r="W386" i="4"/>
  <c r="W479" i="4"/>
  <c r="W245" i="4"/>
  <c r="W14" i="4"/>
  <c r="W369" i="4"/>
  <c r="W74" i="4"/>
  <c r="W283" i="4"/>
  <c r="W280" i="4"/>
  <c r="W233" i="4"/>
  <c r="W464" i="4"/>
  <c r="W463" i="4"/>
  <c r="W520" i="4"/>
  <c r="W529" i="4"/>
  <c r="W56" i="4"/>
  <c r="W200" i="4"/>
  <c r="W93" i="4"/>
  <c r="W504" i="4"/>
  <c r="W345" i="4"/>
  <c r="W187" i="4"/>
  <c r="W519" i="4"/>
  <c r="W192" i="4"/>
  <c r="W182" i="4"/>
  <c r="W391" i="4"/>
  <c r="W332" i="4"/>
  <c r="W273" i="4"/>
  <c r="W169" i="4"/>
  <c r="W98" i="4"/>
  <c r="W468" i="4"/>
  <c r="W107" i="4"/>
  <c r="W448" i="4"/>
  <c r="W186" i="4"/>
  <c r="W318" i="4"/>
  <c r="W63" i="4"/>
  <c r="W30" i="4"/>
  <c r="W499" i="4"/>
  <c r="W408" i="4"/>
  <c r="W343" i="4"/>
  <c r="W177" i="4"/>
  <c r="W278" i="4"/>
  <c r="W348" i="4"/>
  <c r="W41" i="4"/>
  <c r="W335" i="4"/>
  <c r="W58" i="4"/>
  <c r="W34" i="4"/>
  <c r="W282" i="4"/>
  <c r="W389" i="4"/>
  <c r="W25" i="4"/>
  <c r="W115" i="4"/>
  <c r="W150" i="4"/>
  <c r="W418" i="4"/>
  <c r="W149" i="4"/>
  <c r="W236" i="4"/>
  <c r="W388" i="4"/>
  <c r="W454" i="4"/>
  <c r="W201" i="4"/>
  <c r="W97" i="4"/>
  <c r="W379" i="4"/>
  <c r="W134" i="4"/>
  <c r="W230" i="4"/>
  <c r="W152" i="4"/>
  <c r="W106" i="4"/>
  <c r="W243" i="4"/>
  <c r="W81" i="4"/>
  <c r="W167" i="4"/>
  <c r="W331" i="4"/>
  <c r="W110" i="4"/>
  <c r="W494" i="4"/>
  <c r="W87" i="4"/>
  <c r="W495" i="4"/>
  <c r="W363" i="4"/>
  <c r="W365" i="4"/>
  <c r="W172" i="4"/>
  <c r="W346" i="4"/>
  <c r="W446" i="4"/>
  <c r="W220" i="4"/>
  <c r="W326" i="4"/>
  <c r="W361" i="4"/>
  <c r="W72" i="4"/>
  <c r="W170" i="4"/>
  <c r="W545" i="4"/>
  <c r="W357" i="4"/>
  <c r="W409" i="4"/>
  <c r="W473" i="4"/>
  <c r="W265" i="4"/>
  <c r="W475" i="4"/>
  <c r="W94" i="4"/>
  <c r="W337" i="4"/>
  <c r="W293" i="4"/>
  <c r="W380" i="4"/>
  <c r="W239" i="4"/>
  <c r="W497" i="4"/>
  <c r="W416" i="4"/>
  <c r="W84" i="4"/>
  <c r="W287" i="4"/>
  <c r="W465" i="4"/>
  <c r="W250" i="4"/>
  <c r="W281" i="4"/>
  <c r="W443" i="4"/>
  <c r="W400" i="4"/>
  <c r="W527" i="4"/>
  <c r="W534" i="4"/>
  <c r="W225" i="4"/>
  <c r="W547" i="4"/>
  <c r="W310" i="4"/>
  <c r="W27" i="4"/>
  <c r="W384" i="4"/>
  <c r="W502" i="4"/>
  <c r="W405" i="4"/>
  <c r="W141" i="4"/>
  <c r="W375" i="4"/>
  <c r="W68" i="4"/>
  <c r="W162" i="4"/>
  <c r="W219" i="4"/>
  <c r="W191" i="4"/>
  <c r="W471" i="4"/>
  <c r="W54" i="4"/>
  <c r="W501" i="4"/>
  <c r="W550" i="4"/>
  <c r="W509" i="4"/>
  <c r="W88" i="4"/>
  <c r="W85" i="4"/>
  <c r="W261" i="4"/>
  <c r="W188" i="4"/>
  <c r="W297" i="4"/>
  <c r="W334" i="4"/>
  <c r="W66" i="4"/>
  <c r="W274" i="4"/>
  <c r="W406" i="4"/>
  <c r="W481" i="4"/>
  <c r="W513" i="4"/>
  <c r="W488" i="4"/>
  <c r="W528" i="4"/>
  <c r="W45" i="4"/>
  <c r="W510" i="4"/>
  <c r="W39" i="4"/>
  <c r="W146" i="4"/>
  <c r="W145" i="4"/>
  <c r="W322" i="4"/>
  <c r="W378" i="4"/>
  <c r="W203" i="4"/>
  <c r="W113" i="4"/>
  <c r="W205" i="4"/>
  <c r="W555" i="4"/>
  <c r="W351" i="4"/>
  <c r="W248" i="4"/>
  <c r="W212" i="4"/>
  <c r="W549" i="4"/>
  <c r="W73" i="4"/>
  <c r="W48" i="4"/>
  <c r="W395" i="4"/>
  <c r="W252" i="4"/>
  <c r="W218" i="4"/>
  <c r="W259" i="4"/>
  <c r="W151" i="4"/>
  <c r="W228" i="4"/>
  <c r="W423" i="4"/>
  <c r="W206" i="4"/>
  <c r="W288" i="4"/>
  <c r="W52" i="4"/>
  <c r="W556" i="4"/>
  <c r="W442" i="4"/>
  <c r="W19" i="4"/>
  <c r="W23" i="4"/>
  <c r="W238" i="4"/>
  <c r="W180" i="4"/>
  <c r="W352" i="4"/>
  <c r="W539" i="4"/>
  <c r="W376" i="4"/>
  <c r="W491" i="4"/>
  <c r="W453" i="4"/>
  <c r="W95" i="4"/>
  <c r="W552" i="4"/>
  <c r="W272" i="4"/>
  <c r="W270" i="4"/>
  <c r="W433" i="4"/>
  <c r="W307" i="4"/>
  <c r="W305" i="4"/>
  <c r="W121" i="4"/>
  <c r="W268" i="4"/>
  <c r="W328" i="4"/>
  <c r="W295" i="4"/>
  <c r="W202" i="4"/>
  <c r="W103" i="4"/>
  <c r="W260" i="4"/>
  <c r="W553" i="4"/>
  <c r="W366" i="4"/>
  <c r="W398" i="4"/>
  <c r="W303" i="4"/>
  <c r="W525" i="4"/>
  <c r="W368" i="4"/>
  <c r="W304" i="4"/>
  <c r="W482" i="4"/>
  <c r="W155" i="4"/>
  <c r="W341" i="4"/>
  <c r="W449" i="4"/>
  <c r="W362" i="4"/>
  <c r="W360" i="4"/>
  <c r="W47" i="4"/>
  <c r="W413" i="4"/>
  <c r="W50" i="4"/>
  <c r="W466" i="4"/>
  <c r="W336" i="4"/>
  <c r="W490" i="4"/>
  <c r="W316" i="4"/>
  <c r="W153" i="4"/>
  <c r="W112" i="4"/>
  <c r="W253" i="4"/>
  <c r="W451" i="4"/>
  <c r="W136" i="4"/>
  <c r="W193" i="4"/>
  <c r="W262" i="4"/>
  <c r="W279" i="4"/>
  <c r="W33" i="4"/>
  <c r="W276" i="4"/>
  <c r="W393" i="4"/>
  <c r="W511" i="4"/>
  <c r="W108" i="4"/>
  <c r="W46" i="4"/>
  <c r="W541" i="4"/>
  <c r="W434" i="4"/>
  <c r="W355" i="4"/>
  <c r="W431" i="4"/>
  <c r="W537" i="4"/>
  <c r="W217" i="4"/>
  <c r="W161" i="4"/>
  <c r="W323" i="4"/>
  <c r="W11" i="4"/>
  <c r="W540" i="4"/>
  <c r="W256" i="4"/>
  <c r="W535" i="4"/>
  <c r="W440" i="4"/>
  <c r="W79" i="4"/>
  <c r="W127" i="4"/>
  <c r="W223" i="4"/>
  <c r="W445" i="4"/>
  <c r="W536" i="4"/>
  <c r="W396" i="4"/>
  <c r="W447" i="4"/>
  <c r="W28" i="4"/>
  <c r="W458" i="4"/>
  <c r="W215" i="4"/>
  <c r="W317" i="4"/>
  <c r="W43" i="4"/>
  <c r="W444" i="4"/>
  <c r="W506" i="4"/>
  <c r="W373" i="4"/>
  <c r="W42" i="4"/>
  <c r="W275" i="4"/>
  <c r="W441" i="4"/>
  <c r="W96" i="4"/>
  <c r="W551" i="4"/>
  <c r="W118" i="4"/>
  <c r="W165" i="4"/>
  <c r="W306" i="4"/>
  <c r="W184" i="4"/>
  <c r="W224" i="4"/>
  <c r="W392" i="4"/>
  <c r="W457" i="4"/>
  <c r="W8" i="4"/>
  <c r="W16" i="4"/>
  <c r="W367" i="4"/>
  <c r="W67" i="4"/>
  <c r="W214" i="4"/>
  <c r="W301" i="4"/>
  <c r="W44" i="4"/>
  <c r="W372" i="4"/>
  <c r="W40" i="4"/>
  <c r="W176" i="4"/>
  <c r="W77" i="4"/>
  <c r="W349" i="4"/>
  <c r="W208" i="4"/>
  <c r="W35" i="4"/>
  <c r="W258" i="4"/>
  <c r="W133" i="4"/>
  <c r="W166" i="4"/>
  <c r="W17" i="4"/>
  <c r="W53" i="4"/>
  <c r="W159" i="4"/>
  <c r="W487" i="4"/>
  <c r="W302" i="4"/>
  <c r="W160" i="4"/>
  <c r="W289" i="4"/>
  <c r="W71" i="4"/>
  <c r="W132" i="4"/>
  <c r="W512" i="4"/>
  <c r="W353" i="4"/>
  <c r="W419" i="4"/>
  <c r="W264" i="4"/>
  <c r="W298" i="4"/>
  <c r="W344" i="4"/>
  <c r="W195" i="4"/>
  <c r="W327" i="4"/>
  <c r="W286" i="4"/>
  <c r="W467" i="4"/>
  <c r="W131" i="4"/>
  <c r="W65" i="4"/>
  <c r="W22" i="4"/>
  <c r="W546" i="4"/>
  <c r="W231" i="4"/>
  <c r="W122" i="4"/>
  <c r="W492" i="4"/>
  <c r="W266" i="4"/>
  <c r="W157" i="4"/>
  <c r="W38" i="4"/>
  <c r="W329" i="4"/>
  <c r="W120" i="4"/>
  <c r="W86" i="4"/>
  <c r="W284" i="4"/>
  <c r="W309" i="4"/>
  <c r="W505" i="4"/>
  <c r="W179" i="4"/>
  <c r="W251" i="4"/>
  <c r="W320" i="4"/>
  <c r="W399" i="4"/>
  <c r="W114" i="4"/>
  <c r="W190" i="4"/>
  <c r="W474" i="4"/>
  <c r="W148" i="4"/>
  <c r="W164" i="4"/>
  <c r="W263" i="4"/>
  <c r="W240" i="4"/>
  <c r="W227" i="4"/>
  <c r="W532" i="4"/>
  <c r="W381" i="4"/>
  <c r="W70" i="4"/>
  <c r="W542" i="4"/>
  <c r="W171" i="4"/>
  <c r="W194" i="4"/>
  <c r="W411" i="4"/>
  <c r="W185" i="4"/>
  <c r="W294" i="4"/>
  <c r="W312" i="4"/>
  <c r="W533" i="4"/>
  <c r="W420" i="4"/>
  <c r="W154" i="4"/>
  <c r="W374" i="4"/>
  <c r="W196" i="4"/>
  <c r="W57" i="4"/>
  <c r="W173" i="4"/>
  <c r="W498" i="4"/>
  <c r="W315" i="4"/>
  <c r="W461" i="4"/>
  <c r="W111" i="4"/>
  <c r="W358" i="4"/>
  <c r="W364" i="4"/>
  <c r="W370" i="4"/>
  <c r="W129" i="4"/>
  <c r="W75" i="4"/>
  <c r="W330" i="4"/>
  <c r="W543" i="4"/>
  <c r="W126" i="4"/>
  <c r="W342" i="4"/>
  <c r="W350" i="4"/>
  <c r="W234" i="4"/>
  <c r="W460" i="4"/>
  <c r="W100" i="4"/>
  <c r="W417" i="4"/>
  <c r="W31" i="4"/>
  <c r="W430" i="4"/>
  <c r="W530" i="4"/>
  <c r="W521" i="4"/>
  <c r="W524" i="4"/>
  <c r="W435" i="4"/>
  <c r="W347" i="4"/>
  <c r="W426" i="4"/>
  <c r="W140" i="4"/>
  <c r="W229" i="4"/>
  <c r="W21" i="4"/>
  <c r="W254" i="4"/>
  <c r="W49" i="4"/>
  <c r="W477" i="4"/>
  <c r="W241" i="4"/>
  <c r="W387" i="4"/>
  <c r="W314" i="4"/>
  <c r="W333" i="4"/>
  <c r="W144" i="4"/>
  <c r="W237" i="4"/>
  <c r="W485" i="4"/>
  <c r="W522" i="4"/>
  <c r="W292" i="4"/>
  <c r="W394" i="4"/>
  <c r="W439" i="4"/>
  <c r="W209" i="4"/>
  <c r="W401" i="4"/>
  <c r="W383" i="4"/>
  <c r="W36" i="4"/>
  <c r="W424" i="4"/>
  <c r="W277" i="4"/>
  <c r="W489" i="4"/>
  <c r="W210" i="4"/>
  <c r="W500" i="4"/>
  <c r="W232" i="4"/>
  <c r="W456" i="4"/>
  <c r="W197" i="4"/>
  <c r="W226" i="4"/>
  <c r="W10" i="4"/>
  <c r="W183" i="4"/>
  <c r="W204" i="4"/>
  <c r="W325" i="4"/>
  <c r="W116" i="4"/>
  <c r="W211" i="4"/>
  <c r="W356" i="4"/>
  <c r="W478" i="4"/>
  <c r="W428" i="4"/>
  <c r="W267" i="4"/>
  <c r="W249" i="4"/>
  <c r="W20" i="4"/>
  <c r="W496" i="4"/>
  <c r="W59" i="4"/>
  <c r="W104" i="4"/>
  <c r="W222" i="4"/>
  <c r="W285" i="4"/>
  <c r="W130" i="4"/>
  <c r="W407" i="4"/>
  <c r="W60" i="4"/>
  <c r="W147" i="4"/>
  <c r="W213" i="4"/>
  <c r="W403" i="4"/>
  <c r="W24" i="4"/>
  <c r="W216" i="4"/>
  <c r="W175" i="4"/>
  <c r="W415" i="4"/>
  <c r="W242" i="4"/>
  <c r="W128" i="4"/>
  <c r="W168" i="4"/>
  <c r="W359" i="4"/>
  <c r="W436" i="4"/>
  <c r="W139" i="4"/>
  <c r="W55" i="4"/>
  <c r="W402" i="4"/>
  <c r="W319" i="4"/>
  <c r="W291" i="4"/>
  <c r="W69" i="4"/>
  <c r="W338" i="4"/>
  <c r="W198" i="4"/>
  <c r="W12" i="4"/>
  <c r="W507" i="4"/>
  <c r="W83" i="4"/>
  <c r="W300" i="4"/>
  <c r="W296" i="4"/>
  <c r="W515" i="4"/>
  <c r="W547" i="6"/>
  <c r="W45" i="6"/>
  <c r="W32" i="6"/>
  <c r="W72" i="6"/>
  <c r="W284" i="6"/>
  <c r="W204" i="6"/>
  <c r="W555" i="6"/>
  <c r="W435" i="6"/>
  <c r="W168" i="6"/>
  <c r="W131" i="6"/>
  <c r="W258" i="6"/>
  <c r="W170" i="6"/>
  <c r="W510" i="6"/>
  <c r="W481" i="6"/>
  <c r="W345" i="6"/>
  <c r="W164" i="6"/>
  <c r="W546" i="6"/>
  <c r="W315" i="6"/>
  <c r="W381" i="6"/>
  <c r="W385" i="6"/>
  <c r="W208" i="6"/>
  <c r="W179" i="6"/>
  <c r="W474" i="6"/>
  <c r="W89" i="6"/>
  <c r="W514" i="6"/>
  <c r="W48" i="6"/>
  <c r="W84" i="6"/>
  <c r="W424" i="6"/>
  <c r="W225" i="6"/>
  <c r="W310" i="6"/>
  <c r="W436" i="6"/>
  <c r="W308" i="6"/>
  <c r="W506" i="6"/>
  <c r="W539" i="6"/>
  <c r="W522" i="6"/>
  <c r="W462" i="6"/>
  <c r="W236" i="6"/>
  <c r="W88" i="6"/>
  <c r="W468" i="6"/>
  <c r="W94" i="6"/>
  <c r="W541" i="6"/>
  <c r="W384" i="6"/>
  <c r="W292" i="6"/>
  <c r="W418" i="6"/>
  <c r="W370" i="6"/>
  <c r="W521" i="6"/>
  <c r="W406" i="6"/>
  <c r="W192" i="6"/>
  <c r="W234" i="6"/>
  <c r="W148" i="6"/>
  <c r="W463" i="6"/>
  <c r="W455" i="6"/>
  <c r="W46" i="6"/>
  <c r="W54" i="6"/>
  <c r="W113" i="6"/>
  <c r="W30" i="6"/>
  <c r="W322" i="6"/>
  <c r="W434" i="6"/>
  <c r="W458" i="6"/>
  <c r="W56" i="6"/>
  <c r="W438" i="6"/>
  <c r="W347" i="6"/>
  <c r="W154" i="6"/>
  <c r="W415" i="6"/>
  <c r="W450" i="6"/>
  <c r="W414" i="6"/>
  <c r="W300" i="6"/>
  <c r="W291" i="6"/>
  <c r="W76" i="6"/>
  <c r="W104" i="6"/>
  <c r="W432" i="6"/>
  <c r="W339" i="6"/>
  <c r="W43" i="6"/>
  <c r="W513" i="6"/>
  <c r="W197" i="6"/>
  <c r="W411" i="6"/>
  <c r="W408" i="6"/>
  <c r="W467" i="6"/>
  <c r="W393" i="6"/>
  <c r="W287" i="6"/>
  <c r="W100" i="6"/>
  <c r="W447" i="6"/>
  <c r="W233" i="6"/>
  <c r="W407" i="6"/>
  <c r="W205" i="6"/>
  <c r="W180" i="6"/>
  <c r="W247" i="6"/>
  <c r="W50" i="6"/>
  <c r="W103" i="6"/>
  <c r="W92" i="6"/>
  <c r="W28" i="6"/>
  <c r="W65" i="6"/>
  <c r="W36" i="6"/>
  <c r="W69" i="6"/>
  <c r="W35" i="6"/>
  <c r="W412" i="6"/>
  <c r="W85" i="6"/>
  <c r="W211" i="6"/>
  <c r="W79" i="6"/>
  <c r="W428" i="6"/>
  <c r="W378" i="6"/>
  <c r="W456" i="6"/>
  <c r="W454" i="6"/>
  <c r="W313" i="6"/>
  <c r="W383" i="6"/>
  <c r="W245" i="6"/>
  <c r="W107" i="6"/>
  <c r="W537" i="6"/>
  <c r="W500" i="6"/>
  <c r="W557" i="6"/>
  <c r="W37" i="6"/>
  <c r="W57" i="6"/>
  <c r="W176" i="6"/>
  <c r="W340" i="6"/>
  <c r="W257" i="6"/>
  <c r="W18" i="6"/>
  <c r="W497" i="6"/>
  <c r="W142" i="6"/>
  <c r="W445" i="6"/>
  <c r="W470" i="6"/>
  <c r="W93" i="6"/>
  <c r="W341" i="6"/>
  <c r="W426" i="6"/>
  <c r="W243" i="6"/>
  <c r="W343" i="6"/>
  <c r="W130" i="6"/>
  <c r="W437" i="6"/>
  <c r="W21" i="6"/>
  <c r="W306" i="6"/>
  <c r="W250" i="6"/>
  <c r="W390" i="6"/>
  <c r="W7" i="6"/>
  <c r="W544" i="6"/>
  <c r="W70" i="6"/>
  <c r="W266" i="6"/>
  <c r="W429" i="6"/>
  <c r="W373" i="6"/>
  <c r="W336" i="6"/>
  <c r="W265" i="6"/>
  <c r="W351" i="6"/>
  <c r="W333" i="6"/>
  <c r="W364" i="6"/>
  <c r="W433" i="6"/>
  <c r="W330" i="6"/>
  <c r="W14" i="6"/>
  <c r="W248" i="6"/>
  <c r="W203" i="6"/>
  <c r="W439" i="6"/>
  <c r="W328" i="6"/>
  <c r="W218" i="6"/>
  <c r="W222" i="6"/>
  <c r="W422" i="6"/>
  <c r="W466" i="6"/>
  <c r="W174" i="6"/>
  <c r="W268" i="6"/>
  <c r="W556" i="6"/>
  <c r="W261" i="6"/>
  <c r="W419" i="6"/>
  <c r="W353" i="6"/>
  <c r="W361" i="6"/>
  <c r="W242" i="6"/>
  <c r="W52" i="6"/>
  <c r="W335" i="6"/>
  <c r="W402" i="6"/>
  <c r="W489" i="6"/>
  <c r="W12" i="6"/>
  <c r="W207" i="6"/>
  <c r="W49" i="6"/>
  <c r="W253" i="6"/>
  <c r="W115" i="6"/>
  <c r="W473" i="6"/>
  <c r="W147" i="6"/>
  <c r="W303" i="6"/>
  <c r="W214" i="6"/>
  <c r="W206" i="6"/>
  <c r="W202" i="6"/>
  <c r="W532" i="6"/>
  <c r="W105" i="6"/>
  <c r="W478" i="6"/>
  <c r="W396" i="6"/>
  <c r="W124" i="6"/>
  <c r="W119" i="6"/>
  <c r="W71" i="6"/>
  <c r="W523" i="6"/>
  <c r="W80" i="6"/>
  <c r="W332" i="6"/>
  <c r="W520" i="6"/>
  <c r="W449" i="6"/>
  <c r="W68" i="6"/>
  <c r="W368" i="6"/>
  <c r="W375" i="6"/>
  <c r="W297" i="6"/>
  <c r="W528" i="6"/>
  <c r="W542" i="6"/>
  <c r="W327" i="6"/>
  <c r="W472" i="6"/>
  <c r="W223" i="6"/>
  <c r="W156" i="6"/>
  <c r="W83" i="6"/>
  <c r="W172" i="6"/>
  <c r="W288" i="6"/>
  <c r="W122" i="6"/>
  <c r="W377" i="6"/>
  <c r="W479" i="6"/>
  <c r="W177" i="6"/>
  <c r="W451" i="6"/>
  <c r="W86" i="6"/>
  <c r="W229" i="6"/>
  <c r="W420" i="6"/>
  <c r="W272" i="6"/>
  <c r="W110" i="6"/>
  <c r="W318" i="6"/>
  <c r="W111" i="6"/>
  <c r="W511" i="6"/>
  <c r="W365" i="6"/>
  <c r="W200" i="6"/>
  <c r="W401" i="6"/>
  <c r="W198" i="6"/>
  <c r="W126" i="6"/>
  <c r="W421" i="6"/>
  <c r="W24" i="6"/>
  <c r="W507" i="6"/>
  <c r="W319" i="6"/>
  <c r="W515" i="6"/>
  <c r="W529" i="6"/>
  <c r="W372" i="6"/>
  <c r="W281" i="6"/>
  <c r="W487" i="6"/>
  <c r="W536" i="6"/>
  <c r="W276" i="6"/>
  <c r="W125" i="6"/>
  <c r="W181" i="6"/>
  <c r="W549" i="6"/>
  <c r="W460" i="6"/>
  <c r="W188" i="6"/>
  <c r="W413" i="6"/>
  <c r="W399" i="6"/>
  <c r="W114" i="6"/>
  <c r="W350" i="6"/>
  <c r="W417" i="6"/>
  <c r="W494" i="6"/>
  <c r="W275" i="6"/>
  <c r="W301" i="6"/>
  <c r="W175" i="6"/>
  <c r="W491" i="6"/>
  <c r="W116" i="6"/>
  <c r="W344" i="6"/>
  <c r="W533" i="6"/>
  <c r="W173" i="6"/>
  <c r="W311" i="6"/>
  <c r="W244" i="6"/>
  <c r="W495" i="6"/>
  <c r="W342" i="6"/>
  <c r="W241" i="6"/>
  <c r="W137" i="6"/>
  <c r="W212" i="6"/>
  <c r="W134" i="6"/>
  <c r="W97" i="6"/>
  <c r="W8" i="6"/>
  <c r="W153" i="6"/>
  <c r="W187" i="6"/>
  <c r="W195" i="6"/>
  <c r="W380" i="6"/>
  <c r="W367" i="6"/>
  <c r="W42" i="6"/>
  <c r="W519" i="6"/>
  <c r="W160" i="6"/>
  <c r="W240" i="6"/>
  <c r="W117" i="6"/>
  <c r="W149" i="6"/>
  <c r="W106" i="6"/>
  <c r="W295" i="6"/>
  <c r="W357" i="6"/>
  <c r="W325" i="6"/>
  <c r="W379" i="6"/>
  <c r="W403" i="6"/>
  <c r="W488" i="6"/>
  <c r="W77" i="6"/>
  <c r="W453" i="6"/>
  <c r="W334" i="6"/>
  <c r="W227" i="6"/>
  <c r="W410" i="6"/>
  <c r="W127" i="6"/>
  <c r="W59" i="6"/>
  <c r="W171" i="6"/>
  <c r="W465" i="6"/>
  <c r="W78" i="6"/>
  <c r="W132" i="6"/>
  <c r="W282" i="6"/>
  <c r="W405" i="6"/>
  <c r="W252" i="6"/>
  <c r="W503" i="6"/>
  <c r="W509" i="6"/>
  <c r="W165" i="6"/>
  <c r="W259" i="6"/>
  <c r="W67" i="6"/>
  <c r="W151" i="6"/>
  <c r="W388" i="6"/>
  <c r="W82" i="6"/>
  <c r="W182" i="6"/>
  <c r="W387" i="6"/>
  <c r="W302" i="6"/>
  <c r="W140" i="6"/>
  <c r="W312" i="6"/>
  <c r="W155" i="6"/>
  <c r="W267" i="6"/>
  <c r="W60" i="6"/>
  <c r="W527" i="6"/>
  <c r="W444" i="6"/>
  <c r="W496" i="6"/>
  <c r="W161" i="6"/>
  <c r="W152" i="6"/>
  <c r="W133" i="6"/>
  <c r="W516" i="6"/>
  <c r="W285" i="6"/>
  <c r="W360" i="6"/>
  <c r="W159" i="6"/>
  <c r="W150" i="6"/>
  <c r="W304" i="6"/>
  <c r="W307" i="6"/>
  <c r="W305" i="6"/>
  <c r="W20" i="6"/>
  <c r="W64" i="6"/>
  <c r="W320" i="6"/>
  <c r="W480" i="6"/>
  <c r="W90" i="6"/>
  <c r="W484" i="6"/>
  <c r="W518" i="6"/>
  <c r="W249" i="6"/>
  <c r="W270" i="6"/>
  <c r="W427" i="6"/>
  <c r="W490" i="6"/>
  <c r="W317" i="6"/>
  <c r="W215" i="6"/>
  <c r="W505" i="6"/>
  <c r="W483" i="6"/>
  <c r="W128" i="6"/>
  <c r="W256" i="6"/>
  <c r="W425" i="6"/>
  <c r="W262" i="6"/>
  <c r="W442" i="6"/>
  <c r="W355" i="6"/>
  <c r="W190" i="6"/>
  <c r="W118" i="6"/>
  <c r="W141" i="6"/>
  <c r="W143" i="6"/>
  <c r="W16" i="6"/>
  <c r="W389" i="6"/>
  <c r="W157" i="6"/>
  <c r="W296" i="6"/>
  <c r="W366" i="6"/>
  <c r="W96" i="6"/>
  <c r="W55" i="6"/>
  <c r="W538" i="6"/>
  <c r="W193" i="6"/>
  <c r="W58" i="6"/>
  <c r="W61" i="6"/>
  <c r="W10" i="6"/>
  <c r="W501" i="6"/>
  <c r="W486" i="6"/>
  <c r="W53" i="6"/>
  <c r="W331" i="6"/>
  <c r="W298" i="6"/>
  <c r="W551" i="6"/>
  <c r="W329" i="6"/>
  <c r="W309" i="6"/>
  <c r="W17" i="6"/>
  <c r="W543" i="6"/>
  <c r="W290" i="6"/>
  <c r="W189" i="6"/>
  <c r="W392" i="6"/>
  <c r="W394" i="6"/>
  <c r="W400" i="6"/>
  <c r="W136" i="6"/>
  <c r="W216" i="6"/>
  <c r="W534" i="6"/>
  <c r="W338" i="6"/>
  <c r="W440" i="6"/>
  <c r="W552" i="6"/>
  <c r="W416" i="6"/>
  <c r="W95" i="6"/>
  <c r="W109" i="6"/>
  <c r="W255" i="6"/>
  <c r="W254" i="6"/>
  <c r="W324" i="6"/>
  <c r="W548" i="6"/>
  <c r="W251" i="6"/>
  <c r="W461" i="6"/>
  <c r="W362" i="6"/>
  <c r="W231" i="6"/>
  <c r="W63" i="6"/>
  <c r="W358" i="6"/>
  <c r="W101" i="6"/>
  <c r="W508" i="6"/>
  <c r="W213" i="6"/>
  <c r="W346" i="6"/>
  <c r="W499" i="6"/>
  <c r="W184" i="6"/>
  <c r="W423" i="6"/>
  <c r="W352" i="6"/>
  <c r="W239" i="6"/>
  <c r="W531" i="6"/>
  <c r="W525" i="6"/>
  <c r="W448" i="6"/>
  <c r="W278" i="6"/>
  <c r="W15" i="6"/>
  <c r="W502" i="6"/>
  <c r="W475" i="6"/>
  <c r="W144" i="6"/>
  <c r="W51" i="6"/>
  <c r="W39" i="6"/>
  <c r="W166" i="6"/>
  <c r="W178" i="6"/>
  <c r="W477" i="6"/>
  <c r="W91" i="6"/>
  <c r="W263" i="6"/>
  <c r="W535" i="6"/>
  <c r="W221" i="6"/>
  <c r="W482" i="6"/>
  <c r="W554" i="6"/>
  <c r="W162" i="6"/>
  <c r="W219" i="6"/>
  <c r="W163" i="6"/>
  <c r="W13" i="6"/>
  <c r="W356" i="6"/>
  <c r="W47" i="6"/>
  <c r="W321" i="6"/>
  <c r="W354" i="6"/>
  <c r="W226" i="6"/>
  <c r="W369" i="6"/>
  <c r="W286" i="6"/>
  <c r="W73" i="6"/>
  <c r="W146" i="6"/>
  <c r="W441" i="6"/>
  <c r="W196" i="6"/>
  <c r="W158" i="6"/>
  <c r="W62" i="6"/>
  <c r="W123" i="6"/>
  <c r="W545" i="6"/>
  <c r="W40" i="6"/>
  <c r="W199" i="6"/>
  <c r="W186" i="6"/>
  <c r="W27" i="6"/>
  <c r="W19" i="6"/>
  <c r="W98" i="6"/>
  <c r="W238" i="6"/>
  <c r="W289" i="6"/>
  <c r="W274" i="6"/>
  <c r="W112" i="6"/>
  <c r="W279" i="6"/>
  <c r="W409" i="6"/>
  <c r="W26" i="6"/>
  <c r="W34" i="6"/>
  <c r="W210" i="6"/>
  <c r="W75" i="6"/>
  <c r="W102" i="6"/>
  <c r="W237" i="6"/>
  <c r="W299" i="6"/>
  <c r="W485" i="6"/>
  <c r="W129" i="6"/>
  <c r="W526" i="6"/>
  <c r="W382" i="6"/>
  <c r="W81" i="6"/>
  <c r="W9" i="6"/>
  <c r="W293" i="6"/>
  <c r="W386" i="6"/>
  <c r="W201" i="6"/>
  <c r="W209" i="6"/>
  <c r="W183" i="6"/>
  <c r="W530" i="6"/>
  <c r="W41" i="6"/>
  <c r="W391" i="6"/>
  <c r="W29" i="6"/>
  <c r="W217" i="6"/>
  <c r="W25" i="6"/>
  <c r="W230" i="6"/>
  <c r="W232" i="6"/>
  <c r="W260" i="6"/>
  <c r="W11" i="6"/>
  <c r="W277" i="6"/>
  <c r="W194" i="6"/>
  <c r="W469" i="6"/>
  <c r="W271" i="6"/>
  <c r="W273" i="6"/>
  <c r="W326" i="6"/>
  <c r="W540" i="6"/>
  <c r="W476" i="6"/>
  <c r="W431" i="6"/>
  <c r="W349" i="6"/>
  <c r="W283" i="6"/>
  <c r="W44" i="6"/>
  <c r="W337" i="6"/>
  <c r="W464" i="6"/>
  <c r="W66" i="6"/>
  <c r="W397" i="6"/>
  <c r="W264" i="6"/>
  <c r="W323" i="6"/>
  <c r="W512" i="6"/>
  <c r="W280" i="6"/>
  <c r="W517" i="6"/>
  <c r="W108" i="6"/>
  <c r="W23" i="6"/>
  <c r="W294" i="6"/>
  <c r="W348" i="6"/>
  <c r="W135" i="6"/>
  <c r="W22" i="6"/>
  <c r="W228" i="6"/>
  <c r="W404" i="6"/>
  <c r="W504" i="6"/>
  <c r="W87" i="6"/>
  <c r="W235" i="6"/>
  <c r="W191" i="6"/>
  <c r="W459" i="6"/>
  <c r="W398" i="6"/>
  <c r="W145" i="6"/>
  <c r="W224" i="6"/>
  <c r="W371" i="6"/>
  <c r="W446" i="6"/>
  <c r="W167" i="6"/>
  <c r="W38" i="6"/>
  <c r="W185" i="6"/>
  <c r="W169" i="6"/>
  <c r="W31" i="6"/>
  <c r="W120" i="6"/>
  <c r="W314" i="6"/>
  <c r="W359" i="6"/>
  <c r="W457" i="6"/>
  <c r="W395" i="6"/>
  <c r="W363" i="6"/>
  <c r="W492" i="6"/>
  <c r="W220" i="6"/>
  <c r="W33" i="6"/>
  <c r="W493" i="6"/>
  <c r="W376" i="6"/>
  <c r="W524" i="6"/>
  <c r="W121" i="6"/>
  <c r="W246" i="6"/>
  <c r="W471" i="6"/>
  <c r="W139" i="6"/>
  <c r="W443" i="6"/>
  <c r="W430" i="6"/>
  <c r="W138" i="6"/>
  <c r="W99" i="6"/>
  <c r="W498" i="6"/>
  <c r="W374" i="6"/>
  <c r="W74" i="6"/>
  <c r="W452" i="6"/>
  <c r="W269" i="6"/>
  <c r="W550" i="6"/>
  <c r="W316" i="6"/>
  <c r="W553" i="6"/>
  <c r="P250" i="6"/>
  <c r="P205" i="6"/>
  <c r="P418" i="6"/>
  <c r="P308" i="6"/>
  <c r="P424" i="6"/>
  <c r="P56" i="6"/>
  <c r="P507" i="6"/>
  <c r="P79" i="6"/>
  <c r="P42" i="6"/>
  <c r="P464" i="6"/>
  <c r="P107" i="6"/>
  <c r="P94" i="6"/>
  <c r="P259" i="6"/>
  <c r="P46" i="6"/>
  <c r="P54" i="6"/>
  <c r="P152" i="6"/>
  <c r="P189" i="6"/>
  <c r="P139" i="6"/>
  <c r="P30" i="6"/>
  <c r="P89" i="6"/>
  <c r="P322" i="6"/>
  <c r="P344" i="6"/>
  <c r="P93" i="6"/>
  <c r="P160" i="6"/>
  <c r="P272" i="6"/>
  <c r="P330" i="6"/>
  <c r="P202" i="6"/>
  <c r="P450" i="6"/>
  <c r="P334" i="6"/>
  <c r="P184" i="6"/>
  <c r="P426" i="6"/>
  <c r="P28" i="6"/>
  <c r="P243" i="6"/>
  <c r="P291" i="6"/>
  <c r="P114" i="6"/>
  <c r="P544" i="6"/>
  <c r="P451" i="6"/>
  <c r="P261" i="6"/>
  <c r="P76" i="6"/>
  <c r="P140" i="6"/>
  <c r="P311" i="6"/>
  <c r="P265" i="6"/>
  <c r="P18" i="6"/>
  <c r="P402" i="6"/>
  <c r="P197" i="6"/>
  <c r="P275" i="6"/>
  <c r="P490" i="6"/>
  <c r="P411" i="6"/>
  <c r="P374" i="6"/>
  <c r="P126" i="6"/>
  <c r="P12" i="6"/>
  <c r="P247" i="6"/>
  <c r="P303" i="6"/>
  <c r="P532" i="6"/>
  <c r="P534" i="6"/>
  <c r="P105" i="6"/>
  <c r="P505" i="6"/>
  <c r="P423" i="6"/>
  <c r="P15" i="6"/>
  <c r="P17" i="6"/>
  <c r="P151" i="6"/>
  <c r="P363" i="6"/>
  <c r="P530" i="6"/>
  <c r="P543" i="6"/>
  <c r="P182" i="6"/>
  <c r="P232" i="6"/>
  <c r="P445" i="6"/>
  <c r="P407" i="6"/>
  <c r="P456" i="6"/>
  <c r="P336" i="6"/>
  <c r="P143" i="6"/>
  <c r="P335" i="6"/>
  <c r="P340" i="6"/>
  <c r="P494" i="6"/>
  <c r="P508" i="6"/>
  <c r="P268" i="6"/>
  <c r="P117" i="6"/>
  <c r="P278" i="6"/>
  <c r="P536" i="6"/>
  <c r="P328" i="6"/>
  <c r="P49" i="6"/>
  <c r="P470" i="6"/>
  <c r="P447" i="6"/>
  <c r="P85" i="6"/>
  <c r="P194" i="6"/>
  <c r="P181" i="6"/>
  <c r="P542" i="6"/>
  <c r="P301" i="6"/>
  <c r="P522" i="6"/>
  <c r="P288" i="6"/>
  <c r="P341" i="6"/>
  <c r="P245" i="6"/>
  <c r="P298" i="6"/>
  <c r="P493" i="6"/>
  <c r="P545" i="6"/>
  <c r="P120" i="6"/>
  <c r="P116" i="6"/>
  <c r="P497" i="6"/>
  <c r="P521" i="6"/>
  <c r="P438" i="6"/>
  <c r="P319" i="6"/>
  <c r="P317" i="6"/>
  <c r="P495" i="6"/>
  <c r="P381" i="6"/>
  <c r="P215" i="6"/>
  <c r="P482" i="6"/>
  <c r="P220" i="6"/>
  <c r="P153" i="6"/>
  <c r="P345" i="6"/>
  <c r="P179" i="6"/>
  <c r="P390" i="6"/>
  <c r="P101" i="6"/>
  <c r="P313" i="6"/>
  <c r="P537" i="6"/>
  <c r="P306" i="6"/>
  <c r="P176" i="6"/>
  <c r="P177" i="6"/>
  <c r="P164" i="6"/>
  <c r="P437" i="6"/>
  <c r="P236" i="6"/>
  <c r="P413" i="6"/>
  <c r="P237" i="6"/>
  <c r="P254" i="6"/>
  <c r="P98" i="6"/>
  <c r="P233" i="6"/>
  <c r="P547" i="6"/>
  <c r="P142" i="6"/>
  <c r="P32" i="6"/>
  <c r="P373" i="6"/>
  <c r="P420" i="6"/>
  <c r="P266" i="6"/>
  <c r="P473" i="6"/>
  <c r="P448" i="6"/>
  <c r="P284" i="6"/>
  <c r="P204" i="6"/>
  <c r="P173" i="6"/>
  <c r="P86" i="6"/>
  <c r="P252" i="6"/>
  <c r="P331" i="6"/>
  <c r="P379" i="6"/>
  <c r="P338" i="6"/>
  <c r="P486" i="6"/>
  <c r="P527" i="6"/>
  <c r="P410" i="6"/>
  <c r="P66" i="6"/>
  <c r="P511" i="6"/>
  <c r="P525" i="6"/>
  <c r="P351" i="6"/>
  <c r="P7" i="6"/>
  <c r="P253" i="6"/>
  <c r="P337" i="6"/>
  <c r="P364" i="6"/>
  <c r="P213" i="6"/>
  <c r="P207" i="6"/>
  <c r="P353" i="6"/>
  <c r="P401" i="6"/>
  <c r="P429" i="6"/>
  <c r="P333" i="6"/>
  <c r="P436" i="6"/>
  <c r="P222" i="6"/>
  <c r="P489" i="6"/>
  <c r="P242" i="6"/>
  <c r="P439" i="6"/>
  <c r="P203" i="6"/>
  <c r="P200" i="6"/>
  <c r="P175" i="6"/>
  <c r="P462" i="6"/>
  <c r="P399" i="6"/>
  <c r="P244" i="6"/>
  <c r="P415" i="6"/>
  <c r="P55" i="6"/>
  <c r="P216" i="6"/>
  <c r="P25" i="6"/>
  <c r="P149" i="6"/>
  <c r="P227" i="6"/>
  <c r="P229" i="6"/>
  <c r="P231" i="6"/>
  <c r="P312" i="6"/>
  <c r="P519" i="6"/>
  <c r="P10" i="6"/>
  <c r="P43" i="6"/>
  <c r="P195" i="6"/>
  <c r="P155" i="6"/>
  <c r="P297" i="6"/>
  <c r="P115" i="6"/>
  <c r="P20" i="6"/>
  <c r="P339" i="6"/>
  <c r="P472" i="6"/>
  <c r="P83" i="6"/>
  <c r="P88" i="6"/>
  <c r="P14" i="6"/>
  <c r="P321" i="6"/>
  <c r="P452" i="6"/>
  <c r="P249" i="6"/>
  <c r="P169" i="6"/>
  <c r="P305" i="6"/>
  <c r="P156" i="6"/>
  <c r="P435" i="6"/>
  <c r="P541" i="6"/>
  <c r="P52" i="6"/>
  <c r="P539" i="6"/>
  <c r="P474" i="6"/>
  <c r="P84" i="6"/>
  <c r="P549" i="6"/>
  <c r="P350" i="6"/>
  <c r="P377" i="6"/>
  <c r="P515" i="6"/>
  <c r="P384" i="6"/>
  <c r="P180" i="6"/>
  <c r="P72" i="6"/>
  <c r="P125" i="6"/>
  <c r="P21" i="6"/>
  <c r="P24" i="6"/>
  <c r="P419" i="6"/>
  <c r="P408" i="6"/>
  <c r="P198" i="6"/>
  <c r="P428" i="6"/>
  <c r="P414" i="6"/>
  <c r="P95" i="6"/>
  <c r="P371" i="6"/>
  <c r="P36" i="6"/>
  <c r="P460" i="6"/>
  <c r="P421" i="6"/>
  <c r="P188" i="6"/>
  <c r="P417" i="6"/>
  <c r="P279" i="6"/>
  <c r="P366" i="6"/>
  <c r="P499" i="6"/>
  <c r="P480" i="6"/>
  <c r="P57" i="6"/>
  <c r="P491" i="6"/>
  <c r="P454" i="6"/>
  <c r="P276" i="6"/>
  <c r="P466" i="6"/>
  <c r="P37" i="6"/>
  <c r="P432" i="6"/>
  <c r="P45" i="6"/>
  <c r="P300" i="6"/>
  <c r="P370" i="6"/>
  <c r="P315" i="6"/>
  <c r="P513" i="6"/>
  <c r="P533" i="6"/>
  <c r="P552" i="6"/>
  <c r="P433" i="6"/>
  <c r="P342" i="6"/>
  <c r="P467" i="6"/>
  <c r="P241" i="6"/>
  <c r="P310" i="6"/>
  <c r="P137" i="6"/>
  <c r="P506" i="6"/>
  <c r="P383" i="6"/>
  <c r="P347" i="6"/>
  <c r="P555" i="6"/>
  <c r="P501" i="6"/>
  <c r="P212" i="6"/>
  <c r="P192" i="6"/>
  <c r="P292" i="6"/>
  <c r="P380" i="6"/>
  <c r="P211" i="6"/>
  <c r="P240" i="6"/>
  <c r="P16" i="6"/>
  <c r="P130" i="6"/>
  <c r="P367" i="6"/>
  <c r="P64" i="6"/>
  <c r="P483" i="6"/>
  <c r="P343" i="6"/>
  <c r="P290" i="6"/>
  <c r="P225" i="6"/>
  <c r="P412" i="6"/>
  <c r="P514" i="6"/>
  <c r="P174" i="6"/>
  <c r="P214" i="6"/>
  <c r="P221" i="6"/>
  <c r="P70" i="6"/>
  <c r="P223" i="6"/>
  <c r="P50" i="6"/>
  <c r="P325" i="6"/>
  <c r="P109" i="6"/>
  <c r="P528" i="6"/>
  <c r="P257" i="6"/>
  <c r="P389" i="6"/>
  <c r="P327" i="6"/>
  <c r="P385" i="6"/>
  <c r="P267" i="6"/>
  <c r="P318" i="6"/>
  <c r="P271" i="6"/>
  <c r="P209" i="6"/>
  <c r="P165" i="6"/>
  <c r="P92" i="6"/>
  <c r="P110" i="6"/>
  <c r="P71" i="6"/>
  <c r="P128" i="6"/>
  <c r="P496" i="6"/>
  <c r="P256" i="6"/>
  <c r="P518" i="6"/>
  <c r="P477" i="6"/>
  <c r="P449" i="6"/>
  <c r="P289" i="6"/>
  <c r="P398" i="6"/>
  <c r="P44" i="6"/>
  <c r="P19" i="6"/>
  <c r="P158" i="6"/>
  <c r="P361" i="6"/>
  <c r="P60" i="6"/>
  <c r="P131" i="6"/>
  <c r="P100" i="6"/>
  <c r="P557" i="6"/>
  <c r="P13" i="6"/>
  <c r="P87" i="6"/>
  <c r="P157" i="6"/>
  <c r="P170" i="6"/>
  <c r="P67" i="6"/>
  <c r="P425" i="6"/>
  <c r="P226" i="6"/>
  <c r="P31" i="6"/>
  <c r="P273" i="6"/>
  <c r="P504" i="6"/>
  <c r="P147" i="6"/>
  <c r="P546" i="6"/>
  <c r="P206" i="6"/>
  <c r="P248" i="6"/>
  <c r="P378" i="6"/>
  <c r="P53" i="6"/>
  <c r="P296" i="6"/>
  <c r="P96" i="6"/>
  <c r="P323" i="6"/>
  <c r="P526" i="6"/>
  <c r="P219" i="6"/>
  <c r="P512" i="6"/>
  <c r="P492" i="6"/>
  <c r="P224" i="6"/>
  <c r="P135" i="6"/>
  <c r="P141" i="6"/>
  <c r="P314" i="6"/>
  <c r="P538" i="6"/>
  <c r="P329" i="6"/>
  <c r="P61" i="6"/>
  <c r="P392" i="6"/>
  <c r="P394" i="6"/>
  <c r="P260" i="6"/>
  <c r="P550" i="6"/>
  <c r="P332" i="6"/>
  <c r="P457" i="6"/>
  <c r="P108" i="6"/>
  <c r="P485" i="6"/>
  <c r="P154" i="6"/>
  <c r="P193" i="6"/>
  <c r="P258" i="6"/>
  <c r="P65" i="6"/>
  <c r="P58" i="6"/>
  <c r="P281" i="6"/>
  <c r="P104" i="6"/>
  <c r="P124" i="6"/>
  <c r="P551" i="6"/>
  <c r="P324" i="6"/>
  <c r="P69" i="6"/>
  <c r="P422" i="6"/>
  <c r="P172" i="6"/>
  <c r="P396" i="6"/>
  <c r="P63" i="6"/>
  <c r="P218" i="6"/>
  <c r="P136" i="6"/>
  <c r="P416" i="6"/>
  <c r="P234" i="6"/>
  <c r="P440" i="6"/>
  <c r="P548" i="6"/>
  <c r="P287" i="6"/>
  <c r="P358" i="6"/>
  <c r="P119" i="6"/>
  <c r="P346" i="6"/>
  <c r="P461" i="6"/>
  <c r="P113" i="6"/>
  <c r="P382" i="6"/>
  <c r="P359" i="6"/>
  <c r="P26" i="6"/>
  <c r="P309" i="6"/>
  <c r="P556" i="6"/>
  <c r="P468" i="6"/>
  <c r="P246" i="6"/>
  <c r="P251" i="6"/>
  <c r="P97" i="6"/>
  <c r="P48" i="6"/>
  <c r="P529" i="6"/>
  <c r="P138" i="6"/>
  <c r="P481" i="6"/>
  <c r="P471" i="6"/>
  <c r="P47" i="6"/>
  <c r="P62" i="6"/>
  <c r="P11" i="6"/>
  <c r="P163" i="6"/>
  <c r="P283" i="6"/>
  <c r="P459" i="6"/>
  <c r="P122" i="6"/>
  <c r="P103" i="6"/>
  <c r="P352" i="6"/>
  <c r="P239" i="6"/>
  <c r="P208" i="6"/>
  <c r="P463" i="6"/>
  <c r="P255" i="6"/>
  <c r="P134" i="6"/>
  <c r="P510" i="6"/>
  <c r="P434" i="6"/>
  <c r="P393" i="6"/>
  <c r="P531" i="6"/>
  <c r="P41" i="6"/>
  <c r="P476" i="6"/>
  <c r="P479" i="6"/>
  <c r="P500" i="6"/>
  <c r="P51" i="6"/>
  <c r="P372" i="6"/>
  <c r="P39" i="6"/>
  <c r="P357" i="6"/>
  <c r="P509" i="6"/>
  <c r="P444" i="6"/>
  <c r="P388" i="6"/>
  <c r="P320" i="6"/>
  <c r="P262" i="6"/>
  <c r="P376" i="6"/>
  <c r="P286" i="6"/>
  <c r="P118" i="6"/>
  <c r="P360" i="6"/>
  <c r="P132" i="6"/>
  <c r="P159" i="6"/>
  <c r="P307" i="6"/>
  <c r="P455" i="6"/>
  <c r="P465" i="6"/>
  <c r="P150" i="6"/>
  <c r="P274" i="6"/>
  <c r="P517" i="6"/>
  <c r="P404" i="6"/>
  <c r="P406" i="6"/>
  <c r="P82" i="6"/>
  <c r="P484" i="6"/>
  <c r="P488" i="6"/>
  <c r="P299" i="6"/>
  <c r="P405" i="6"/>
  <c r="P293" i="6"/>
  <c r="P427" i="6"/>
  <c r="P386" i="6"/>
  <c r="P77" i="6"/>
  <c r="P348" i="6"/>
  <c r="P68" i="6"/>
  <c r="P540" i="6"/>
  <c r="P22" i="6"/>
  <c r="P144" i="6"/>
  <c r="P554" i="6"/>
  <c r="P355" i="6"/>
  <c r="P112" i="6"/>
  <c r="P186" i="6"/>
  <c r="P217" i="6"/>
  <c r="P285" i="6"/>
  <c r="P102" i="6"/>
  <c r="P196" i="6"/>
  <c r="P368" i="6"/>
  <c r="P228" i="6"/>
  <c r="P90" i="6"/>
  <c r="P409" i="6"/>
  <c r="P34" i="6"/>
  <c r="P9" i="6"/>
  <c r="P280" i="6"/>
  <c r="P129" i="6"/>
  <c r="P387" i="6"/>
  <c r="P277" i="6"/>
  <c r="P81" i="6"/>
  <c r="P441" i="6"/>
  <c r="P183" i="6"/>
  <c r="P201" i="6"/>
  <c r="P375" i="6"/>
  <c r="P106" i="6"/>
  <c r="P8" i="6"/>
  <c r="P59" i="6"/>
  <c r="P391" i="6"/>
  <c r="P29" i="6"/>
  <c r="P111" i="6"/>
  <c r="P397" i="6"/>
  <c r="P230" i="6"/>
  <c r="P442" i="6"/>
  <c r="P349" i="6"/>
  <c r="P80" i="6"/>
  <c r="P146" i="6"/>
  <c r="P326" i="6"/>
  <c r="P503" i="6"/>
  <c r="P295" i="6"/>
  <c r="P127" i="6"/>
  <c r="P487" i="6"/>
  <c r="P161" i="6"/>
  <c r="P431" i="6"/>
  <c r="P516" i="6"/>
  <c r="P535" i="6"/>
  <c r="P502" i="6"/>
  <c r="P469" i="6"/>
  <c r="P264" i="6"/>
  <c r="P395" i="6"/>
  <c r="P304" i="6"/>
  <c r="P145" i="6"/>
  <c r="P171" i="6"/>
  <c r="P74" i="6"/>
  <c r="P524" i="6"/>
  <c r="P302" i="6"/>
  <c r="P91" i="6"/>
  <c r="P453" i="6"/>
  <c r="P269" i="6"/>
  <c r="P478" i="6"/>
  <c r="P23" i="6"/>
  <c r="P443" i="6"/>
  <c r="P520" i="6"/>
  <c r="P294" i="6"/>
  <c r="P362" i="6"/>
  <c r="P121" i="6"/>
  <c r="P553" i="6"/>
  <c r="P35" i="6"/>
  <c r="P190" i="6"/>
  <c r="P185" i="6"/>
  <c r="P166" i="6"/>
  <c r="P316" i="6"/>
  <c r="P167" i="6"/>
  <c r="P99" i="6"/>
  <c r="P38" i="6"/>
  <c r="P191" i="6"/>
  <c r="P365" i="6"/>
  <c r="P403" i="6"/>
  <c r="P40" i="6"/>
  <c r="P523" i="6"/>
  <c r="P400" i="6"/>
  <c r="P210" i="6"/>
  <c r="P73" i="6"/>
  <c r="P123" i="6"/>
  <c r="P33" i="6"/>
  <c r="P178" i="6"/>
  <c r="P168" i="6"/>
  <c r="P238" i="6"/>
  <c r="P187" i="6"/>
  <c r="P446" i="6"/>
  <c r="P78" i="6"/>
  <c r="P199" i="6"/>
  <c r="P458" i="6"/>
  <c r="P27" i="6"/>
  <c r="P263" i="6"/>
  <c r="P270" i="6"/>
  <c r="P282" i="6"/>
  <c r="P369" i="6"/>
  <c r="P162" i="6"/>
  <c r="P430" i="6"/>
  <c r="P133" i="6"/>
  <c r="P498" i="6"/>
  <c r="P75" i="6"/>
  <c r="P148" i="6"/>
  <c r="P356" i="6"/>
  <c r="P235" i="6"/>
  <c r="P475" i="6"/>
  <c r="P354" i="6"/>
  <c r="S46" i="4"/>
  <c r="S250" i="4"/>
  <c r="S467" i="4"/>
  <c r="S547" i="4"/>
  <c r="S541" i="4"/>
  <c r="S422" i="4"/>
  <c r="S206" i="4"/>
  <c r="S346" i="4"/>
  <c r="S501" i="4"/>
  <c r="S525" i="4"/>
  <c r="S101" i="4"/>
  <c r="S414" i="4"/>
  <c r="S520" i="4"/>
  <c r="S151" i="4"/>
  <c r="S504" i="4"/>
  <c r="S305" i="4"/>
  <c r="S37" i="4"/>
  <c r="S184" i="4"/>
  <c r="S165" i="4"/>
  <c r="S173" i="4"/>
  <c r="S43" i="4"/>
  <c r="S261" i="4"/>
  <c r="S89" i="4"/>
  <c r="S207" i="4"/>
  <c r="S131" i="4"/>
  <c r="S523" i="4"/>
  <c r="S100" i="4"/>
  <c r="S450" i="4"/>
  <c r="S153" i="4"/>
  <c r="S348" i="4"/>
  <c r="S230" i="4"/>
  <c r="S449" i="4"/>
  <c r="S138" i="4"/>
  <c r="S73" i="4"/>
  <c r="S431" i="4"/>
  <c r="S368" i="4"/>
  <c r="S480" i="4"/>
  <c r="S99" i="4"/>
  <c r="S185" i="4"/>
  <c r="S94" i="4"/>
  <c r="S278" i="4"/>
  <c r="S133" i="4"/>
  <c r="S42" i="4"/>
  <c r="S351" i="4"/>
  <c r="S423" i="4"/>
  <c r="S482" i="4"/>
  <c r="S302" i="4"/>
  <c r="S440" i="4"/>
  <c r="S263" i="4"/>
  <c r="S417" i="4"/>
  <c r="S511" i="4"/>
  <c r="S360" i="4"/>
  <c r="S45" i="4"/>
  <c r="S155" i="4"/>
  <c r="S339" i="4"/>
  <c r="S72" i="4"/>
  <c r="S140" i="4"/>
  <c r="S110" i="4"/>
  <c r="S103" i="4"/>
  <c r="S343" i="4"/>
  <c r="S38" i="4"/>
  <c r="S491" i="4"/>
  <c r="S149" i="4"/>
  <c r="S474" i="4"/>
  <c r="S162" i="4"/>
  <c r="S102" i="4"/>
  <c r="S215" i="4"/>
  <c r="S18" i="4"/>
  <c r="S393" i="4"/>
  <c r="S434" i="4"/>
  <c r="S334" i="4"/>
  <c r="S512" i="4"/>
  <c r="S137" i="4"/>
  <c r="S158" i="4"/>
  <c r="S380" i="4"/>
  <c r="S219" i="4"/>
  <c r="S166" i="4"/>
  <c r="S320" i="4"/>
  <c r="S497" i="4"/>
  <c r="S358" i="4"/>
  <c r="S536" i="4"/>
  <c r="S398" i="4"/>
  <c r="S244" i="4"/>
  <c r="S272" i="4"/>
  <c r="S287" i="4"/>
  <c r="S412" i="4"/>
  <c r="S79" i="4"/>
  <c r="S63" i="4"/>
  <c r="S328" i="4"/>
  <c r="S224" i="4"/>
  <c r="S472" i="4"/>
  <c r="S85" i="4"/>
  <c r="S134" i="4"/>
  <c r="S159" i="4"/>
  <c r="S248" i="4"/>
  <c r="S404" i="4"/>
  <c r="S548" i="4"/>
  <c r="S307" i="4"/>
  <c r="S96" i="4"/>
  <c r="S490" i="4"/>
  <c r="S26" i="4"/>
  <c r="S408" i="4"/>
  <c r="S11" i="4"/>
  <c r="S9" i="4"/>
  <c r="S112" i="4"/>
  <c r="S135" i="4"/>
  <c r="S384" i="4"/>
  <c r="S146" i="4"/>
  <c r="S311" i="4"/>
  <c r="S516" i="4"/>
  <c r="S374" i="4"/>
  <c r="S260" i="4"/>
  <c r="S279" i="4"/>
  <c r="S519" i="4"/>
  <c r="S486" i="4"/>
  <c r="S114" i="4"/>
  <c r="S201" i="4"/>
  <c r="S189" i="4"/>
  <c r="S529" i="4"/>
  <c r="S8" i="4"/>
  <c r="S56" i="4"/>
  <c r="S225" i="4"/>
  <c r="S300" i="4"/>
  <c r="S377" i="4"/>
  <c r="S444" i="4"/>
  <c r="S381" i="4"/>
  <c r="S315" i="4"/>
  <c r="S312" i="4"/>
  <c r="S429" i="4"/>
  <c r="S286" i="4"/>
  <c r="S252" i="4"/>
  <c r="S259" i="4"/>
  <c r="S437" i="4"/>
  <c r="S443" i="4"/>
  <c r="S465" i="4"/>
  <c r="S127" i="4"/>
  <c r="S143" i="4"/>
  <c r="S342" i="4"/>
  <c r="S51" i="4"/>
  <c r="S427" i="4"/>
  <c r="S198" i="4"/>
  <c r="S545" i="4"/>
  <c r="S14" i="4"/>
  <c r="S466" i="4"/>
  <c r="S258" i="4"/>
  <c r="S337" i="4"/>
  <c r="S549" i="4"/>
  <c r="S84" i="4"/>
  <c r="S180" i="4"/>
  <c r="S345" i="4"/>
  <c r="S53" i="4"/>
  <c r="S326" i="4"/>
  <c r="S527" i="4"/>
  <c r="S125" i="4"/>
  <c r="S542" i="4"/>
  <c r="S552" i="4"/>
  <c r="S257" i="4"/>
  <c r="S468" i="4"/>
  <c r="S316" i="4"/>
  <c r="S528" i="4"/>
  <c r="S90" i="4"/>
  <c r="S141" i="4"/>
  <c r="S212" i="4"/>
  <c r="S461" i="4"/>
  <c r="S30" i="4"/>
  <c r="S373" i="4"/>
  <c r="S284" i="4"/>
  <c r="S265" i="4"/>
  <c r="S457" i="4"/>
  <c r="S376" i="4"/>
  <c r="S382" i="4"/>
  <c r="S214" i="4"/>
  <c r="S395" i="4"/>
  <c r="S303" i="4"/>
  <c r="S363" i="4"/>
  <c r="S375" i="4"/>
  <c r="S390" i="4"/>
  <c r="S107" i="4"/>
  <c r="S196" i="4"/>
  <c r="S301" i="4"/>
  <c r="S399" i="4"/>
  <c r="S91" i="4"/>
  <c r="S167" i="4"/>
  <c r="S555" i="4"/>
  <c r="S533" i="4"/>
  <c r="S157" i="4"/>
  <c r="S332" i="4"/>
  <c r="S531" i="4"/>
  <c r="S246" i="4"/>
  <c r="S57" i="4"/>
  <c r="S364" i="4"/>
  <c r="S251" i="4"/>
  <c r="S93" i="4"/>
  <c r="S289" i="4"/>
  <c r="S492" i="4"/>
  <c r="S74" i="4"/>
  <c r="S386" i="4"/>
  <c r="S282" i="4"/>
  <c r="S354" i="4"/>
  <c r="S163" i="4"/>
  <c r="S479" i="4"/>
  <c r="S17" i="4"/>
  <c r="S327" i="4"/>
  <c r="S190" i="4"/>
  <c r="S203" i="4"/>
  <c r="S540" i="4"/>
  <c r="S142" i="4"/>
  <c r="S421" i="4"/>
  <c r="S425" i="4"/>
  <c r="S551" i="4"/>
  <c r="S445" i="4"/>
  <c r="S535" i="4"/>
  <c r="S306" i="4"/>
  <c r="S308" i="4"/>
  <c r="S243" i="4"/>
  <c r="S227" i="4"/>
  <c r="S288" i="4"/>
  <c r="S161" i="4"/>
  <c r="S388" i="4"/>
  <c r="S256" i="4"/>
  <c r="S538" i="4"/>
  <c r="S411" i="4"/>
  <c r="S448" i="4"/>
  <c r="S129" i="4"/>
  <c r="S453" i="4"/>
  <c r="S120" i="4"/>
  <c r="S223" i="4"/>
  <c r="S65" i="4"/>
  <c r="S109" i="4"/>
  <c r="S460" i="4"/>
  <c r="S452" i="4"/>
  <c r="S64" i="4"/>
  <c r="S495" i="4"/>
  <c r="S350" i="4"/>
  <c r="S498" i="4"/>
  <c r="S253" i="4"/>
  <c r="S451" i="4"/>
  <c r="S420" i="4"/>
  <c r="S553" i="4"/>
  <c r="S205" i="4"/>
  <c r="S88" i="4"/>
  <c r="S433" i="4"/>
  <c r="S321" i="4"/>
  <c r="S13" i="4"/>
  <c r="S35" i="4"/>
  <c r="S459" i="4"/>
  <c r="S469" i="4"/>
  <c r="S514" i="4"/>
  <c r="S322" i="4"/>
  <c r="S483" i="4"/>
  <c r="S290" i="4"/>
  <c r="S281" i="4"/>
  <c r="S32" i="4"/>
  <c r="S295" i="4"/>
  <c r="S455" i="4"/>
  <c r="S499" i="4"/>
  <c r="S233" i="4"/>
  <c r="S271" i="4"/>
  <c r="S113" i="4"/>
  <c r="S463" i="4"/>
  <c r="S234" i="4"/>
  <c r="S357" i="4"/>
  <c r="S283" i="4"/>
  <c r="S361" i="4"/>
  <c r="S29" i="4"/>
  <c r="S509" i="4"/>
  <c r="S488" i="4"/>
  <c r="S432" i="4"/>
  <c r="S355" i="4"/>
  <c r="S537" i="4"/>
  <c r="S231" i="4"/>
  <c r="S218" i="4"/>
  <c r="S336" i="4"/>
  <c r="S33" i="4"/>
  <c r="S71" i="4"/>
  <c r="S97" i="4"/>
  <c r="S517" i="4"/>
  <c r="S276" i="4"/>
  <c r="S16" i="4"/>
  <c r="S104" i="4"/>
  <c r="S111" i="4"/>
  <c r="S22" i="4"/>
  <c r="S220" i="4"/>
  <c r="S181" i="4"/>
  <c r="S240" i="4"/>
  <c r="S67" i="4"/>
  <c r="S508" i="4"/>
  <c r="S526" i="4"/>
  <c r="S503" i="4"/>
  <c r="S208" i="4"/>
  <c r="S505" i="4"/>
  <c r="S118" i="4"/>
  <c r="S396" i="4"/>
  <c r="S150" i="4"/>
  <c r="S391" i="4"/>
  <c r="S335" i="4"/>
  <c r="S68" i="4"/>
  <c r="S126" i="4"/>
  <c r="S58" i="4"/>
  <c r="S556" i="4"/>
  <c r="S106" i="4"/>
  <c r="S438" i="4"/>
  <c r="S400" i="4"/>
  <c r="S441" i="4"/>
  <c r="S447" i="4"/>
  <c r="S266" i="4"/>
  <c r="S86" i="4"/>
  <c r="S352" i="4"/>
  <c r="S148" i="4"/>
  <c r="S15" i="4"/>
  <c r="S330" i="4"/>
  <c r="S50" i="4"/>
  <c r="S410" i="4"/>
  <c r="S255" i="4"/>
  <c r="S132" i="4"/>
  <c r="S199" i="4"/>
  <c r="S25" i="4"/>
  <c r="S462" i="4"/>
  <c r="S304" i="4"/>
  <c r="S506" i="4"/>
  <c r="S418" i="4"/>
  <c r="S44" i="4"/>
  <c r="S419" i="4"/>
  <c r="S392" i="4"/>
  <c r="S105" i="4"/>
  <c r="S557" i="4"/>
  <c r="S177" i="4"/>
  <c r="S200" i="4"/>
  <c r="S415" i="4"/>
  <c r="S353" i="4"/>
  <c r="S245" i="4"/>
  <c r="S269" i="4"/>
  <c r="S274" i="4"/>
  <c r="S172" i="4"/>
  <c r="S273" i="4"/>
  <c r="S313" i="4"/>
  <c r="S371" i="4"/>
  <c r="S293" i="4"/>
  <c r="S193" i="4"/>
  <c r="S539" i="4"/>
  <c r="S124" i="4"/>
  <c r="S202" i="4"/>
  <c r="S27" i="4"/>
  <c r="S108" i="4"/>
  <c r="S372" i="4"/>
  <c r="S458" i="4"/>
  <c r="S294" i="4"/>
  <c r="S194" i="4"/>
  <c r="S475" i="4"/>
  <c r="S362" i="4"/>
  <c r="S366" i="4"/>
  <c r="S247" i="4"/>
  <c r="S235" i="4"/>
  <c r="S329" i="4"/>
  <c r="S52" i="4"/>
  <c r="S98" i="4"/>
  <c r="S70" i="4"/>
  <c r="S239" i="4"/>
  <c r="S154" i="4"/>
  <c r="S344" i="4"/>
  <c r="S76" i="4"/>
  <c r="S473" i="4"/>
  <c r="S40" i="4"/>
  <c r="S510" i="4"/>
  <c r="S513" i="4"/>
  <c r="S122" i="4"/>
  <c r="S77" i="4"/>
  <c r="S347" i="4"/>
  <c r="S518" i="4"/>
  <c r="S19" i="4"/>
  <c r="S406" i="4"/>
  <c r="S476" i="4"/>
  <c r="S121" i="4"/>
  <c r="S554" i="4"/>
  <c r="S82" i="4"/>
  <c r="S367" i="4"/>
  <c r="S236" i="4"/>
  <c r="S87" i="4"/>
  <c r="S34" i="4"/>
  <c r="S494" i="4"/>
  <c r="S221" i="4"/>
  <c r="S532" i="4"/>
  <c r="S389" i="4"/>
  <c r="S378" i="4"/>
  <c r="S170" i="4"/>
  <c r="S298" i="4"/>
  <c r="S323" i="4"/>
  <c r="S331" i="4"/>
  <c r="S481" i="4"/>
  <c r="S402" i="4"/>
  <c r="S297" i="4"/>
  <c r="S174" i="4"/>
  <c r="S54" i="4"/>
  <c r="S446" i="4"/>
  <c r="S365" i="4"/>
  <c r="S81" i="4"/>
  <c r="S543" i="4"/>
  <c r="S164" i="4"/>
  <c r="S385" i="4"/>
  <c r="S171" i="4"/>
  <c r="S169" i="4"/>
  <c r="S186" i="4"/>
  <c r="S117" i="4"/>
  <c r="S41" i="4"/>
  <c r="S341" i="4"/>
  <c r="S369" i="4"/>
  <c r="S62" i="4"/>
  <c r="S493" i="4"/>
  <c r="S160" i="4"/>
  <c r="S191" i="4"/>
  <c r="S66" i="4"/>
  <c r="S379" i="4"/>
  <c r="S136" i="4"/>
  <c r="S92" i="4"/>
  <c r="S370" i="4"/>
  <c r="S270" i="4"/>
  <c r="S310" i="4"/>
  <c r="S264" i="4"/>
  <c r="S238" i="4"/>
  <c r="S464" i="4"/>
  <c r="S80" i="4"/>
  <c r="S176" i="4"/>
  <c r="S471" i="4"/>
  <c r="S95" i="4"/>
  <c r="S275" i="4"/>
  <c r="S123" i="4"/>
  <c r="S20" i="4"/>
  <c r="S496" i="4"/>
  <c r="S237" i="4"/>
  <c r="S128" i="4"/>
  <c r="S222" i="4"/>
  <c r="S254" i="4"/>
  <c r="S49" i="4"/>
  <c r="S383" i="4"/>
  <c r="S175" i="4"/>
  <c r="S39" i="4"/>
  <c r="S285" i="4"/>
  <c r="S416" i="4"/>
  <c r="S470" i="4"/>
  <c r="S544" i="4"/>
  <c r="S31" i="4"/>
  <c r="S430" i="4"/>
  <c r="S152" i="4"/>
  <c r="S428" i="4"/>
  <c r="S442" i="4"/>
  <c r="S178" i="4"/>
  <c r="S144" i="4"/>
  <c r="S426" i="4"/>
  <c r="S489" i="4"/>
  <c r="S477" i="4"/>
  <c r="S28" i="4"/>
  <c r="S550" i="4"/>
  <c r="S546" i="4"/>
  <c r="S232" i="4"/>
  <c r="S394" i="4"/>
  <c r="S226" i="4"/>
  <c r="S145" i="4"/>
  <c r="S115" i="4"/>
  <c r="S292" i="4"/>
  <c r="S262" i="4"/>
  <c r="S277" i="4"/>
  <c r="S119" i="4"/>
  <c r="S156" i="4"/>
  <c r="S403" i="4"/>
  <c r="S439" i="4"/>
  <c r="S387" i="4"/>
  <c r="S116" i="4"/>
  <c r="S522" i="4"/>
  <c r="S197" i="4"/>
  <c r="S183" i="4"/>
  <c r="S405" i="4"/>
  <c r="S195" i="4"/>
  <c r="S10" i="4"/>
  <c r="S333" i="4"/>
  <c r="S168" i="4"/>
  <c r="S228" i="4"/>
  <c r="S356" i="4"/>
  <c r="S478" i="4"/>
  <c r="S454" i="4"/>
  <c r="S485" i="4"/>
  <c r="S309" i="4"/>
  <c r="S241" i="4"/>
  <c r="S325" i="4"/>
  <c r="S456" i="4"/>
  <c r="S484" i="4"/>
  <c r="S188" i="4"/>
  <c r="S210" i="4"/>
  <c r="S317" i="4"/>
  <c r="S12" i="4"/>
  <c r="S319" i="4"/>
  <c r="S187" i="4"/>
  <c r="S534" i="4"/>
  <c r="S69" i="4"/>
  <c r="S359" i="4"/>
  <c r="S209" i="4"/>
  <c r="S139" i="4"/>
  <c r="S409" i="4"/>
  <c r="S487" i="4"/>
  <c r="S55" i="4"/>
  <c r="S296" i="4"/>
  <c r="S500" i="4"/>
  <c r="S314" i="4"/>
  <c r="S291" i="4"/>
  <c r="S130" i="4"/>
  <c r="S530" i="4"/>
  <c r="S324" i="4"/>
  <c r="S229" i="4"/>
  <c r="S21" i="4"/>
  <c r="S179" i="4"/>
  <c r="S211" i="4"/>
  <c r="S216" i="4"/>
  <c r="S267" i="4"/>
  <c r="S349" i="4"/>
  <c r="S47" i="4"/>
  <c r="S75" i="4"/>
  <c r="S397" i="4"/>
  <c r="S338" i="4"/>
  <c r="S507" i="4"/>
  <c r="S413" i="4"/>
  <c r="S524" i="4"/>
  <c r="S192" i="4"/>
  <c r="S280" i="4"/>
  <c r="S182" i="4"/>
  <c r="S502" i="4"/>
  <c r="S249" i="4"/>
  <c r="S7" i="4"/>
  <c r="S401" i="4"/>
  <c r="S424" i="4"/>
  <c r="S435" i="4"/>
  <c r="S407" i="4"/>
  <c r="S59" i="4"/>
  <c r="S36" i="4"/>
  <c r="S48" i="4"/>
  <c r="S78" i="4"/>
  <c r="S521" i="4"/>
  <c r="S299" i="4"/>
  <c r="S23" i="4"/>
  <c r="S436" i="4"/>
  <c r="S204" i="4"/>
  <c r="S242" i="4"/>
  <c r="S340" i="4"/>
  <c r="S60" i="4"/>
  <c r="S24" i="4"/>
  <c r="S318" i="4"/>
  <c r="S147" i="4"/>
  <c r="S268" i="4"/>
  <c r="S217" i="4"/>
  <c r="S515" i="4"/>
  <c r="S61" i="4"/>
  <c r="S213" i="4"/>
  <c r="S83" i="4"/>
  <c r="U541" i="6"/>
  <c r="U544" i="6"/>
  <c r="U179" i="6"/>
  <c r="U384" i="6"/>
  <c r="U489" i="6"/>
  <c r="U420" i="6"/>
  <c r="U130" i="6"/>
  <c r="U192" i="6"/>
  <c r="U208" i="6"/>
  <c r="U234" i="6"/>
  <c r="U455" i="6"/>
  <c r="U17" i="6"/>
  <c r="U51" i="6"/>
  <c r="U461" i="6"/>
  <c r="U354" i="6"/>
  <c r="U250" i="6"/>
  <c r="U328" i="6"/>
  <c r="U300" i="6"/>
  <c r="U154" i="6"/>
  <c r="U88" i="6"/>
  <c r="U148" i="6"/>
  <c r="U60" i="6"/>
  <c r="U120" i="6"/>
  <c r="U310" i="6"/>
  <c r="U45" i="6"/>
  <c r="U176" i="6"/>
  <c r="U546" i="6"/>
  <c r="U521" i="6"/>
  <c r="U539" i="6"/>
  <c r="U126" i="6"/>
  <c r="U322" i="6"/>
  <c r="U292" i="6"/>
  <c r="U48" i="6"/>
  <c r="U164" i="6"/>
  <c r="U93" i="6"/>
  <c r="U434" i="6"/>
  <c r="U424" i="6"/>
  <c r="U195" i="6"/>
  <c r="U56" i="6"/>
  <c r="U507" i="6"/>
  <c r="U221" i="6"/>
  <c r="U385" i="6"/>
  <c r="U463" i="6"/>
  <c r="U140" i="6"/>
  <c r="U205" i="6"/>
  <c r="U344" i="6"/>
  <c r="U417" i="6"/>
  <c r="U337" i="6"/>
  <c r="U422" i="6"/>
  <c r="U508" i="6"/>
  <c r="U197" i="6"/>
  <c r="U533" i="6"/>
  <c r="U275" i="6"/>
  <c r="U458" i="6"/>
  <c r="U438" i="6"/>
  <c r="U462" i="6"/>
  <c r="U347" i="6"/>
  <c r="U330" i="6"/>
  <c r="U399" i="6"/>
  <c r="U42" i="6"/>
  <c r="U381" i="6"/>
  <c r="U198" i="6"/>
  <c r="U103" i="6"/>
  <c r="U414" i="6"/>
  <c r="U124" i="6"/>
  <c r="U410" i="6"/>
  <c r="U475" i="6"/>
  <c r="U343" i="6"/>
  <c r="U8" i="6"/>
  <c r="U133" i="6"/>
  <c r="U114" i="6"/>
  <c r="U18" i="6"/>
  <c r="U429" i="6"/>
  <c r="U308" i="6"/>
  <c r="U156" i="6"/>
  <c r="U374" i="6"/>
  <c r="U245" i="6"/>
  <c r="U334" i="6"/>
  <c r="U76" i="6"/>
  <c r="U7" i="6"/>
  <c r="U407" i="6"/>
  <c r="U454" i="6"/>
  <c r="U247" i="6"/>
  <c r="U303" i="6"/>
  <c r="U377" i="6"/>
  <c r="U428" i="6"/>
  <c r="U503" i="6"/>
  <c r="U193" i="6"/>
  <c r="U64" i="6"/>
  <c r="U109" i="6"/>
  <c r="U537" i="6"/>
  <c r="U41" i="6"/>
  <c r="U30" i="6"/>
  <c r="U412" i="6"/>
  <c r="U181" i="6"/>
  <c r="U79" i="6"/>
  <c r="U467" i="6"/>
  <c r="U464" i="6"/>
  <c r="U107" i="6"/>
  <c r="U298" i="6"/>
  <c r="U500" i="6"/>
  <c r="U96" i="6"/>
  <c r="U456" i="6"/>
  <c r="U57" i="6"/>
  <c r="U142" i="6"/>
  <c r="U340" i="6"/>
  <c r="U194" i="6"/>
  <c r="U383" i="6"/>
  <c r="U491" i="6"/>
  <c r="U319" i="6"/>
  <c r="U495" i="6"/>
  <c r="U493" i="6"/>
  <c r="U366" i="6"/>
  <c r="U20" i="6"/>
  <c r="U116" i="6"/>
  <c r="U497" i="6"/>
  <c r="U513" i="6"/>
  <c r="U325" i="6"/>
  <c r="U288" i="6"/>
  <c r="U478" i="6"/>
  <c r="U505" i="6"/>
  <c r="U510" i="6"/>
  <c r="U345" i="6"/>
  <c r="U291" i="6"/>
  <c r="U536" i="6"/>
  <c r="U177" i="6"/>
  <c r="U70" i="6"/>
  <c r="U470" i="6"/>
  <c r="U89" i="6"/>
  <c r="U16" i="6"/>
  <c r="U32" i="6"/>
  <c r="U101" i="6"/>
  <c r="U83" i="6"/>
  <c r="U301" i="6"/>
  <c r="U413" i="6"/>
  <c r="U215" i="6"/>
  <c r="U545" i="6"/>
  <c r="U255" i="6"/>
  <c r="U548" i="6"/>
  <c r="U61" i="6"/>
  <c r="U266" i="6"/>
  <c r="U373" i="6"/>
  <c r="U436" i="6"/>
  <c r="U174" i="6"/>
  <c r="U380" i="6"/>
  <c r="U24" i="6"/>
  <c r="U212" i="6"/>
  <c r="U225" i="6"/>
  <c r="U351" i="6"/>
  <c r="U218" i="6"/>
  <c r="U448" i="6"/>
  <c r="U265" i="6"/>
  <c r="U52" i="6"/>
  <c r="U401" i="6"/>
  <c r="U49" i="6"/>
  <c r="U335" i="6"/>
  <c r="U514" i="6"/>
  <c r="U552" i="6"/>
  <c r="U72" i="6"/>
  <c r="U466" i="6"/>
  <c r="U353" i="6"/>
  <c r="U361" i="6"/>
  <c r="U549" i="6"/>
  <c r="U315" i="6"/>
  <c r="U223" i="6"/>
  <c r="U185" i="6"/>
  <c r="U460" i="6"/>
  <c r="U357" i="6"/>
  <c r="U474" i="6"/>
  <c r="U519" i="6"/>
  <c r="U333" i="6"/>
  <c r="U115" i="6"/>
  <c r="U253" i="6"/>
  <c r="U268" i="6"/>
  <c r="U367" i="6"/>
  <c r="U203" i="6"/>
  <c r="U339" i="6"/>
  <c r="U402" i="6"/>
  <c r="U233" i="6"/>
  <c r="U104" i="6"/>
  <c r="U37" i="6"/>
  <c r="U306" i="6"/>
  <c r="U297" i="6"/>
  <c r="U309" i="6"/>
  <c r="U528" i="6"/>
  <c r="U50" i="6"/>
  <c r="U451" i="6"/>
  <c r="U542" i="6"/>
  <c r="U172" i="6"/>
  <c r="U327" i="6"/>
  <c r="U122" i="6"/>
  <c r="U184" i="6"/>
  <c r="U165" i="6"/>
  <c r="U94" i="6"/>
  <c r="U69" i="6"/>
  <c r="U129" i="6"/>
  <c r="U471" i="6"/>
  <c r="U282" i="6"/>
  <c r="U19" i="6"/>
  <c r="U485" i="6"/>
  <c r="U314" i="6"/>
  <c r="U186" i="6"/>
  <c r="U553" i="6"/>
  <c r="U472" i="6"/>
  <c r="U257" i="6"/>
  <c r="U389" i="6"/>
  <c r="U261" i="6"/>
  <c r="U435" i="6"/>
  <c r="U85" i="6"/>
  <c r="U200" i="6"/>
  <c r="U418" i="6"/>
  <c r="U84" i="6"/>
  <c r="U515" i="6"/>
  <c r="U331" i="6"/>
  <c r="U538" i="6"/>
  <c r="U239" i="6"/>
  <c r="U527" i="6"/>
  <c r="U358" i="6"/>
  <c r="U476" i="6"/>
  <c r="U229" i="6"/>
  <c r="U180" i="6"/>
  <c r="U21" i="6"/>
  <c r="U204" i="6"/>
  <c r="U272" i="6"/>
  <c r="U175" i="6"/>
  <c r="U415" i="6"/>
  <c r="U216" i="6"/>
  <c r="U168" i="6"/>
  <c r="U92" i="6"/>
  <c r="U511" i="6"/>
  <c r="U128" i="6"/>
  <c r="U54" i="6"/>
  <c r="U390" i="6"/>
  <c r="U494" i="6"/>
  <c r="U188" i="6"/>
  <c r="U419" i="6"/>
  <c r="U125" i="6"/>
  <c r="U421" i="6"/>
  <c r="U350" i="6"/>
  <c r="U408" i="6"/>
  <c r="U445" i="6"/>
  <c r="U439" i="6"/>
  <c r="U276" i="6"/>
  <c r="U450" i="6"/>
  <c r="U222" i="6"/>
  <c r="U173" i="6"/>
  <c r="U311" i="6"/>
  <c r="U432" i="6"/>
  <c r="U370" i="6"/>
  <c r="U236" i="6"/>
  <c r="U155" i="6"/>
  <c r="U143" i="6"/>
  <c r="U341" i="6"/>
  <c r="U241" i="6"/>
  <c r="U137" i="6"/>
  <c r="U10" i="6"/>
  <c r="U433" i="6"/>
  <c r="U231" i="6"/>
  <c r="U437" i="6"/>
  <c r="U211" i="6"/>
  <c r="U207" i="6"/>
  <c r="U509" i="6"/>
  <c r="U338" i="6"/>
  <c r="U63" i="6"/>
  <c r="U170" i="6"/>
  <c r="U259" i="6"/>
  <c r="U482" i="6"/>
  <c r="U403" i="6"/>
  <c r="U317" i="6"/>
  <c r="U136" i="6"/>
  <c r="U55" i="6"/>
  <c r="U312" i="6"/>
  <c r="U364" i="6"/>
  <c r="U556" i="6"/>
  <c r="U105" i="6"/>
  <c r="U396" i="6"/>
  <c r="U119" i="6"/>
  <c r="U336" i="6"/>
  <c r="U473" i="6"/>
  <c r="U214" i="6"/>
  <c r="U206" i="6"/>
  <c r="U202" i="6"/>
  <c r="U532" i="6"/>
  <c r="U252" i="6"/>
  <c r="U278" i="6"/>
  <c r="U365" i="6"/>
  <c r="U82" i="6"/>
  <c r="U171" i="6"/>
  <c r="U256" i="6"/>
  <c r="U484" i="6"/>
  <c r="U512" i="6"/>
  <c r="U518" i="6"/>
  <c r="U159" i="6"/>
  <c r="U342" i="6"/>
  <c r="U267" i="6"/>
  <c r="U131" i="6"/>
  <c r="U318" i="6"/>
  <c r="U67" i="6"/>
  <c r="U151" i="6"/>
  <c r="U557" i="6"/>
  <c r="U388" i="6"/>
  <c r="U161" i="6"/>
  <c r="U302" i="6"/>
  <c r="U270" i="6"/>
  <c r="U242" i="6"/>
  <c r="U110" i="6"/>
  <c r="U516" i="6"/>
  <c r="U224" i="6"/>
  <c r="U249" i="6"/>
  <c r="U158" i="6"/>
  <c r="U375" i="6"/>
  <c r="U201" i="6"/>
  <c r="U305" i="6"/>
  <c r="U490" i="6"/>
  <c r="U483" i="6"/>
  <c r="U127" i="6"/>
  <c r="U59" i="6"/>
  <c r="U480" i="6"/>
  <c r="U90" i="6"/>
  <c r="U376" i="6"/>
  <c r="U550" i="6"/>
  <c r="U190" i="6"/>
  <c r="U44" i="6"/>
  <c r="U411" i="6"/>
  <c r="U100" i="6"/>
  <c r="U71" i="6"/>
  <c r="U139" i="6"/>
  <c r="U425" i="6"/>
  <c r="U271" i="6"/>
  <c r="U262" i="6"/>
  <c r="U442" i="6"/>
  <c r="U355" i="6"/>
  <c r="U285" i="6"/>
  <c r="U360" i="6"/>
  <c r="U289" i="6"/>
  <c r="U430" i="6"/>
  <c r="U398" i="6"/>
  <c r="U378" i="6"/>
  <c r="U157" i="6"/>
  <c r="U243" i="6"/>
  <c r="U296" i="6"/>
  <c r="U281" i="6"/>
  <c r="U323" i="6"/>
  <c r="U526" i="6"/>
  <c r="U219" i="6"/>
  <c r="U286" i="6"/>
  <c r="U209" i="6"/>
  <c r="U87" i="6"/>
  <c r="U31" i="6"/>
  <c r="U147" i="6"/>
  <c r="U447" i="6"/>
  <c r="U284" i="6"/>
  <c r="U522" i="6"/>
  <c r="U117" i="6"/>
  <c r="U248" i="6"/>
  <c r="U53" i="6"/>
  <c r="U149" i="6"/>
  <c r="U486" i="6"/>
  <c r="U258" i="6"/>
  <c r="U329" i="6"/>
  <c r="U46" i="6"/>
  <c r="U97" i="6"/>
  <c r="U14" i="6"/>
  <c r="U551" i="6"/>
  <c r="U65" i="6"/>
  <c r="U501" i="6"/>
  <c r="U12" i="6"/>
  <c r="U416" i="6"/>
  <c r="U324" i="6"/>
  <c r="U529" i="6"/>
  <c r="U487" i="6"/>
  <c r="U469" i="6"/>
  <c r="U264" i="6"/>
  <c r="U443" i="6"/>
  <c r="U95" i="6"/>
  <c r="U287" i="6"/>
  <c r="U254" i="6"/>
  <c r="U346" i="6"/>
  <c r="U499" i="6"/>
  <c r="U295" i="6"/>
  <c r="U506" i="6"/>
  <c r="U213" i="6"/>
  <c r="U426" i="6"/>
  <c r="U446" i="6"/>
  <c r="U232" i="6"/>
  <c r="U80" i="6"/>
  <c r="U277" i="6"/>
  <c r="U356" i="6"/>
  <c r="U531" i="6"/>
  <c r="U423" i="6"/>
  <c r="U440" i="6"/>
  <c r="U534" i="6"/>
  <c r="U468" i="6"/>
  <c r="U251" i="6"/>
  <c r="U479" i="6"/>
  <c r="U25" i="6"/>
  <c r="U279" i="6"/>
  <c r="U134" i="6"/>
  <c r="U363" i="6"/>
  <c r="U525" i="6"/>
  <c r="U160" i="6"/>
  <c r="U244" i="6"/>
  <c r="U246" i="6"/>
  <c r="U106" i="6"/>
  <c r="U66" i="6"/>
  <c r="U379" i="6"/>
  <c r="U111" i="6"/>
  <c r="U530" i="6"/>
  <c r="U152" i="6"/>
  <c r="U387" i="6"/>
  <c r="U405" i="6"/>
  <c r="U304" i="6"/>
  <c r="U290" i="6"/>
  <c r="U47" i="6"/>
  <c r="U307" i="6"/>
  <c r="U38" i="6"/>
  <c r="U123" i="6"/>
  <c r="U540" i="6"/>
  <c r="U404" i="6"/>
  <c r="U43" i="6"/>
  <c r="U58" i="6"/>
  <c r="U40" i="6"/>
  <c r="U113" i="6"/>
  <c r="U382" i="6"/>
  <c r="U62" i="6"/>
  <c r="U492" i="6"/>
  <c r="U400" i="6"/>
  <c r="U81" i="6"/>
  <c r="U299" i="6"/>
  <c r="U406" i="6"/>
  <c r="U86" i="6"/>
  <c r="U409" i="6"/>
  <c r="U394" i="6"/>
  <c r="U238" i="6"/>
  <c r="U132" i="6"/>
  <c r="U199" i="6"/>
  <c r="U73" i="6"/>
  <c r="U9" i="6"/>
  <c r="U293" i="6"/>
  <c r="U98" i="6"/>
  <c r="U543" i="6"/>
  <c r="U226" i="6"/>
  <c r="U397" i="6"/>
  <c r="U326" i="6"/>
  <c r="U237" i="6"/>
  <c r="U144" i="6"/>
  <c r="U372" i="6"/>
  <c r="U26" i="6"/>
  <c r="U332" i="6"/>
  <c r="U427" i="6"/>
  <c r="U196" i="6"/>
  <c r="U391" i="6"/>
  <c r="U477" i="6"/>
  <c r="U146" i="6"/>
  <c r="U112" i="6"/>
  <c r="U260" i="6"/>
  <c r="U102" i="6"/>
  <c r="U441" i="6"/>
  <c r="U75" i="6"/>
  <c r="U11" i="6"/>
  <c r="U217" i="6"/>
  <c r="U34" i="6"/>
  <c r="U118" i="6"/>
  <c r="U210" i="6"/>
  <c r="U68" i="6"/>
  <c r="U108" i="6"/>
  <c r="U141" i="6"/>
  <c r="U77" i="6"/>
  <c r="U453" i="6"/>
  <c r="U393" i="6"/>
  <c r="U182" i="6"/>
  <c r="U230" i="6"/>
  <c r="U313" i="6"/>
  <c r="U227" i="6"/>
  <c r="U29" i="6"/>
  <c r="U28" i="6"/>
  <c r="U431" i="6"/>
  <c r="U349" i="6"/>
  <c r="U283" i="6"/>
  <c r="U368" i="6"/>
  <c r="U273" i="6"/>
  <c r="U502" i="6"/>
  <c r="U36" i="6"/>
  <c r="U23" i="6"/>
  <c r="U348" i="6"/>
  <c r="U520" i="6"/>
  <c r="U535" i="6"/>
  <c r="U183" i="6"/>
  <c r="U15" i="6"/>
  <c r="U22" i="6"/>
  <c r="U362" i="6"/>
  <c r="U280" i="6"/>
  <c r="U517" i="6"/>
  <c r="U504" i="6"/>
  <c r="U555" i="6"/>
  <c r="U240" i="6"/>
  <c r="U39" i="6"/>
  <c r="U392" i="6"/>
  <c r="U91" i="6"/>
  <c r="U228" i="6"/>
  <c r="U444" i="6"/>
  <c r="U220" i="6"/>
  <c r="U35" i="6"/>
  <c r="U189" i="6"/>
  <c r="U74" i="6"/>
  <c r="U294" i="6"/>
  <c r="U524" i="6"/>
  <c r="U135" i="6"/>
  <c r="U498" i="6"/>
  <c r="U33" i="6"/>
  <c r="U554" i="6"/>
  <c r="U481" i="6"/>
  <c r="U321" i="6"/>
  <c r="U162" i="6"/>
  <c r="U78" i="6"/>
  <c r="U369" i="6"/>
  <c r="U488" i="6"/>
  <c r="U371" i="6"/>
  <c r="U178" i="6"/>
  <c r="U386" i="6"/>
  <c r="U169" i="6"/>
  <c r="U395" i="6"/>
  <c r="U153" i="6"/>
  <c r="U352" i="6"/>
  <c r="U320" i="6"/>
  <c r="U359" i="6"/>
  <c r="U27" i="6"/>
  <c r="U166" i="6"/>
  <c r="U13" i="6"/>
  <c r="U167" i="6"/>
  <c r="U99" i="6"/>
  <c r="U457" i="6"/>
  <c r="U452" i="6"/>
  <c r="U547" i="6"/>
  <c r="U187" i="6"/>
  <c r="U316" i="6"/>
  <c r="U138" i="6"/>
  <c r="U449" i="6"/>
  <c r="U191" i="6"/>
  <c r="U496" i="6"/>
  <c r="U523" i="6"/>
  <c r="U235" i="6"/>
  <c r="U465" i="6"/>
  <c r="U274" i="6"/>
  <c r="U145" i="6"/>
  <c r="U263" i="6"/>
  <c r="U121" i="6"/>
  <c r="U269" i="6"/>
  <c r="U163" i="6"/>
  <c r="U150" i="6"/>
  <c r="U459" i="6"/>
  <c r="T35" i="5"/>
  <c r="T67" i="5"/>
  <c r="T20" i="5"/>
  <c r="T30" i="5"/>
  <c r="T22" i="5"/>
  <c r="T53" i="5"/>
  <c r="T72" i="5"/>
  <c r="T54" i="5"/>
  <c r="T51" i="5"/>
  <c r="T21" i="5"/>
  <c r="T18" i="5"/>
  <c r="T12" i="5"/>
  <c r="T68" i="5"/>
  <c r="T55" i="5"/>
  <c r="T75" i="5"/>
  <c r="T32" i="5"/>
  <c r="T65" i="5"/>
  <c r="T69" i="5"/>
  <c r="T66" i="5"/>
  <c r="T74" i="5"/>
  <c r="T52" i="5"/>
  <c r="T15" i="5"/>
  <c r="T70" i="5"/>
  <c r="T39" i="5"/>
  <c r="T41" i="5"/>
  <c r="T38" i="5"/>
  <c r="T19" i="5"/>
  <c r="T44" i="5"/>
  <c r="T11" i="5"/>
  <c r="T57" i="5"/>
  <c r="T58" i="5"/>
  <c r="T46" i="5"/>
  <c r="T71" i="5"/>
  <c r="T10" i="5"/>
  <c r="T76" i="5"/>
  <c r="T23" i="5"/>
  <c r="T8" i="5"/>
  <c r="T27" i="5"/>
  <c r="T7" i="5"/>
  <c r="T77" i="5"/>
  <c r="T60" i="5"/>
  <c r="T49" i="5"/>
  <c r="T45" i="5"/>
  <c r="T59" i="5"/>
  <c r="T40" i="5"/>
  <c r="T43" i="5"/>
  <c r="T56" i="5"/>
  <c r="T9" i="5"/>
  <c r="T14" i="5"/>
  <c r="T61" i="5"/>
  <c r="T17" i="5"/>
  <c r="T37" i="5"/>
  <c r="T24" i="5"/>
  <c r="T16" i="5"/>
  <c r="T26" i="5"/>
  <c r="T25" i="5"/>
  <c r="T73" i="5"/>
  <c r="T78" i="5"/>
  <c r="T42" i="5"/>
  <c r="T36" i="5"/>
  <c r="T34" i="5"/>
  <c r="T33" i="5"/>
  <c r="T48" i="5"/>
  <c r="T47" i="5"/>
  <c r="T63" i="5"/>
  <c r="T28" i="5"/>
  <c r="T50" i="5"/>
  <c r="T31" i="5"/>
  <c r="T62" i="5"/>
  <c r="T13" i="5"/>
  <c r="T64" i="5"/>
  <c r="T29" i="5"/>
  <c r="X7" i="5"/>
  <c r="X57" i="5"/>
  <c r="X11" i="5"/>
  <c r="X60" i="5"/>
  <c r="X30" i="5"/>
  <c r="X22" i="5"/>
  <c r="X51" i="5"/>
  <c r="X72" i="5"/>
  <c r="X14" i="5"/>
  <c r="X68" i="5"/>
  <c r="X54" i="5"/>
  <c r="X20" i="5"/>
  <c r="X71" i="5"/>
  <c r="X18" i="5"/>
  <c r="X49" i="5"/>
  <c r="X10" i="5"/>
  <c r="X61" i="5"/>
  <c r="X45" i="5"/>
  <c r="X23" i="5"/>
  <c r="X43" i="5"/>
  <c r="X12" i="5"/>
  <c r="X8" i="5"/>
  <c r="X53" i="5"/>
  <c r="X27" i="5"/>
  <c r="X74" i="5"/>
  <c r="X56" i="5"/>
  <c r="X39" i="5"/>
  <c r="X9" i="5"/>
  <c r="X70" i="5"/>
  <c r="X24" i="5"/>
  <c r="X41" i="5"/>
  <c r="X17" i="5"/>
  <c r="X35" i="5"/>
  <c r="X58" i="5"/>
  <c r="X21" i="5"/>
  <c r="X75" i="5"/>
  <c r="X32" i="5"/>
  <c r="X46" i="5"/>
  <c r="X65" i="5"/>
  <c r="X55" i="5"/>
  <c r="X69" i="5"/>
  <c r="X40" i="5"/>
  <c r="X66" i="5"/>
  <c r="X37" i="5"/>
  <c r="X52" i="5"/>
  <c r="X77" i="5"/>
  <c r="X59" i="5"/>
  <c r="X38" i="5"/>
  <c r="X44" i="5"/>
  <c r="X15" i="5"/>
  <c r="X26" i="5"/>
  <c r="X25" i="5"/>
  <c r="X16" i="5"/>
  <c r="X67" i="5"/>
  <c r="X19" i="5"/>
  <c r="X28" i="5"/>
  <c r="X36" i="5"/>
  <c r="X63" i="5"/>
  <c r="X73" i="5"/>
  <c r="X48" i="5"/>
  <c r="X78" i="5"/>
  <c r="X62" i="5"/>
  <c r="X42" i="5"/>
  <c r="X33" i="5"/>
  <c r="X13" i="5"/>
  <c r="X47" i="5"/>
  <c r="X29" i="5"/>
  <c r="X76" i="5"/>
  <c r="X50" i="5"/>
  <c r="X64" i="5"/>
  <c r="X34" i="5"/>
  <c r="X31" i="5"/>
  <c r="Q416" i="4"/>
  <c r="Q312" i="4"/>
  <c r="Q283" i="4"/>
  <c r="Q446" i="4"/>
  <c r="Q414" i="4"/>
  <c r="Q105" i="4"/>
  <c r="Q376" i="4"/>
  <c r="Q423" i="4"/>
  <c r="Q313" i="4"/>
  <c r="Q412" i="4"/>
  <c r="Q297" i="4"/>
  <c r="Q375" i="4"/>
  <c r="Q337" i="4"/>
  <c r="Q455" i="4"/>
  <c r="Q236" i="4"/>
  <c r="Q224" i="4"/>
  <c r="Q302" i="4"/>
  <c r="Q366" i="4"/>
  <c r="Q396" i="4"/>
  <c r="Q212" i="4"/>
  <c r="Q261" i="4"/>
  <c r="Q514" i="4"/>
  <c r="Q476" i="4"/>
  <c r="Q22" i="4"/>
  <c r="Q233" i="4"/>
  <c r="Q38" i="4"/>
  <c r="Q238" i="4"/>
  <c r="Q161" i="4"/>
  <c r="Q459" i="4"/>
  <c r="Q466" i="4"/>
  <c r="Q510" i="4"/>
  <c r="Q405" i="4"/>
  <c r="Q431" i="4"/>
  <c r="Q472" i="4"/>
  <c r="Q34" i="4"/>
  <c r="Q75" i="4"/>
  <c r="Q154" i="4"/>
  <c r="Q25" i="4"/>
  <c r="Q44" i="4"/>
  <c r="Q188" i="4"/>
  <c r="Q483" i="4"/>
  <c r="Q164" i="4"/>
  <c r="Q269" i="4"/>
  <c r="Q85" i="4"/>
  <c r="Q80" i="4"/>
  <c r="Q326" i="4"/>
  <c r="Q194" i="4"/>
  <c r="Q162" i="4"/>
  <c r="Q199" i="4"/>
  <c r="Q258" i="4"/>
  <c r="Q173" i="4"/>
  <c r="Q84" i="4"/>
  <c r="Q532" i="4"/>
  <c r="Q112" i="4"/>
  <c r="Q149" i="4"/>
  <c r="Q333" i="4"/>
  <c r="Q513" i="4"/>
  <c r="Q29" i="4"/>
  <c r="Q331" i="4"/>
  <c r="Q182" i="4"/>
  <c r="Q239" i="4"/>
  <c r="Q65" i="4"/>
  <c r="Q41" i="4"/>
  <c r="Q120" i="4"/>
  <c r="Q160" i="4"/>
  <c r="Q200" i="4"/>
  <c r="Q143" i="4"/>
  <c r="Q330" i="4"/>
  <c r="Q493" i="4"/>
  <c r="Q151" i="4"/>
  <c r="Q306" i="4"/>
  <c r="Q176" i="4"/>
  <c r="Q467" i="4"/>
  <c r="Q463" i="4"/>
  <c r="Q97" i="4"/>
  <c r="Q299" i="4"/>
  <c r="Q437" i="4"/>
  <c r="Q540" i="4"/>
  <c r="Q234" i="4"/>
  <c r="Q109" i="4"/>
  <c r="Q371" i="4"/>
  <c r="Q289" i="4"/>
  <c r="Q367" i="4"/>
  <c r="Q248" i="4"/>
  <c r="Q64" i="4"/>
  <c r="Q273" i="4"/>
  <c r="Q545" i="4"/>
  <c r="Q322" i="4"/>
  <c r="Q529" i="4"/>
  <c r="Q301" i="4"/>
  <c r="Q303" i="4"/>
  <c r="Q519" i="4"/>
  <c r="Q340" i="4"/>
  <c r="Q315" i="4"/>
  <c r="Q101" i="4"/>
  <c r="Q256" i="4"/>
  <c r="Q74" i="4"/>
  <c r="Q348" i="4"/>
  <c r="Q512" i="4"/>
  <c r="Q295" i="4"/>
  <c r="Q37" i="4"/>
  <c r="Q87" i="4"/>
  <c r="Q155" i="4"/>
  <c r="Q203" i="4"/>
  <c r="Q316" i="4"/>
  <c r="Q235" i="4"/>
  <c r="Q525" i="4"/>
  <c r="Q434" i="4"/>
  <c r="Q553" i="4"/>
  <c r="Q71" i="4"/>
  <c r="Q508" i="4"/>
  <c r="Q457" i="4"/>
  <c r="Q169" i="4"/>
  <c r="Q419" i="4"/>
  <c r="Q554" i="4"/>
  <c r="Q305" i="4"/>
  <c r="Q422" i="4"/>
  <c r="Q253" i="4"/>
  <c r="Q86" i="4"/>
  <c r="Q94" i="4"/>
  <c r="Q451" i="4"/>
  <c r="Q150" i="4"/>
  <c r="Q449" i="4"/>
  <c r="Q443" i="4"/>
  <c r="Q310" i="4"/>
  <c r="Q444" i="4"/>
  <c r="Q23" i="4"/>
  <c r="Q517" i="4"/>
  <c r="Q393" i="4"/>
  <c r="Q119" i="4"/>
  <c r="Q384" i="4"/>
  <c r="Q552" i="4"/>
  <c r="Q280" i="4"/>
  <c r="Q420" i="4"/>
  <c r="Q526" i="4"/>
  <c r="Q206" i="4"/>
  <c r="Q499" i="4"/>
  <c r="Q144" i="4"/>
  <c r="Q17" i="4"/>
  <c r="Q474" i="4"/>
  <c r="Q555" i="4"/>
  <c r="Q189" i="4"/>
  <c r="Q411" i="4"/>
  <c r="Q263" i="4"/>
  <c r="Q20" i="4"/>
  <c r="Q392" i="4"/>
  <c r="Q304" i="4"/>
  <c r="Q355" i="4"/>
  <c r="Q186" i="4"/>
  <c r="Q502" i="4"/>
  <c r="Q406" i="4"/>
  <c r="Q491" i="4"/>
  <c r="Q308" i="4"/>
  <c r="Q122" i="4"/>
  <c r="Q26" i="4"/>
  <c r="Q115" i="4"/>
  <c r="Q480" i="4"/>
  <c r="Q100" i="4"/>
  <c r="Q172" i="4"/>
  <c r="Q163" i="4"/>
  <c r="Q77" i="4"/>
  <c r="Q278" i="4"/>
  <c r="Q52" i="4"/>
  <c r="Q171" i="4"/>
  <c r="Q518" i="4"/>
  <c r="Q73" i="4"/>
  <c r="Q440" i="4"/>
  <c r="Q57" i="4"/>
  <c r="Q165" i="4"/>
  <c r="Q9" i="4"/>
  <c r="Q506" i="4"/>
  <c r="Q527" i="4"/>
  <c r="Q368" i="4"/>
  <c r="Q542" i="4"/>
  <c r="Q30" i="4"/>
  <c r="Q290" i="4"/>
  <c r="Q509" i="4"/>
  <c r="Q505" i="4"/>
  <c r="Q166" i="4"/>
  <c r="Q543" i="4"/>
  <c r="Q28" i="4"/>
  <c r="Q523" i="4"/>
  <c r="Q321" i="4"/>
  <c r="Q99" i="4"/>
  <c r="Q320" i="4"/>
  <c r="Q534" i="4"/>
  <c r="Q408" i="4"/>
  <c r="Q158" i="4"/>
  <c r="Q327" i="4"/>
  <c r="Q192" i="4"/>
  <c r="Q391" i="4"/>
  <c r="Q482" i="4"/>
  <c r="Q177" i="4"/>
  <c r="Q551" i="4"/>
  <c r="Q479" i="4"/>
  <c r="Q240" i="4"/>
  <c r="Q152" i="4"/>
  <c r="Q374" i="4"/>
  <c r="Q486" i="4"/>
  <c r="Q469" i="4"/>
  <c r="Q282" i="4"/>
  <c r="Q54" i="4"/>
  <c r="Q379" i="4"/>
  <c r="Q520" i="4"/>
  <c r="Q271" i="4"/>
  <c r="Q146" i="4"/>
  <c r="Q488" i="4"/>
  <c r="Q445" i="4"/>
  <c r="Q220" i="4"/>
  <c r="Q441" i="4"/>
  <c r="Q218" i="4"/>
  <c r="Q432" i="4"/>
  <c r="Q180" i="4"/>
  <c r="Q16" i="4"/>
  <c r="Q528" i="4"/>
  <c r="Q465" i="4"/>
  <c r="Q107" i="4"/>
  <c r="Q15" i="4"/>
  <c r="Q214" i="4"/>
  <c r="Q361" i="4"/>
  <c r="Q19" i="4"/>
  <c r="Q32" i="4"/>
  <c r="Q56" i="4"/>
  <c r="Q264" i="4"/>
  <c r="Q352" i="4"/>
  <c r="Q541" i="4"/>
  <c r="Q93" i="4"/>
  <c r="Q205" i="4"/>
  <c r="Q48" i="4"/>
  <c r="Q257" i="4"/>
  <c r="Q14" i="4"/>
  <c r="Q345" i="4"/>
  <c r="Q276" i="4"/>
  <c r="Q343" i="4"/>
  <c r="Q43" i="4"/>
  <c r="Q123" i="4"/>
  <c r="Q181" i="4"/>
  <c r="Q246" i="4"/>
  <c r="Q142" i="4"/>
  <c r="Q67" i="4"/>
  <c r="Q215" i="4"/>
  <c r="Q245" i="4"/>
  <c r="Q458" i="4"/>
  <c r="Q126" i="4"/>
  <c r="Q221" i="4"/>
  <c r="Q190" i="4"/>
  <c r="Q307" i="4"/>
  <c r="Q328" i="4"/>
  <c r="Q272" i="4"/>
  <c r="Q533" i="4"/>
  <c r="Q91" i="4"/>
  <c r="Q108" i="4"/>
  <c r="Q170" i="4"/>
  <c r="Q418" i="4"/>
  <c r="Q137" i="4"/>
  <c r="Q484" i="4"/>
  <c r="Q72" i="4"/>
  <c r="Q140" i="4"/>
  <c r="Q492" i="4"/>
  <c r="Q40" i="4"/>
  <c r="Q294" i="4"/>
  <c r="Q81" i="4"/>
  <c r="Q421" i="4"/>
  <c r="Q121" i="4"/>
  <c r="Q179" i="4"/>
  <c r="Q351" i="4"/>
  <c r="Q334" i="4"/>
  <c r="Q230" i="4"/>
  <c r="Q66" i="4"/>
  <c r="Q397" i="4"/>
  <c r="Q373" i="4"/>
  <c r="Q18" i="4"/>
  <c r="Q53" i="4"/>
  <c r="Q117" i="4"/>
  <c r="Q495" i="4"/>
  <c r="Q336" i="4"/>
  <c r="Q260" i="4"/>
  <c r="Q547" i="4"/>
  <c r="Q362" i="4"/>
  <c r="Q511" i="4"/>
  <c r="Q76" i="4"/>
  <c r="Q353" i="4"/>
  <c r="Q58" i="4"/>
  <c r="Q369" i="4"/>
  <c r="Q207" i="4"/>
  <c r="Q503" i="4"/>
  <c r="Q70" i="4"/>
  <c r="Q317" i="4"/>
  <c r="Q539" i="4"/>
  <c r="Q82" i="4"/>
  <c r="Q201" i="4"/>
  <c r="Q398" i="4"/>
  <c r="Q138" i="4"/>
  <c r="Q42" i="4"/>
  <c r="Q471" i="4"/>
  <c r="Q124" i="4"/>
  <c r="Q433" i="4"/>
  <c r="Q377" i="4"/>
  <c r="Q354" i="4"/>
  <c r="Q464" i="4"/>
  <c r="Q453" i="4"/>
  <c r="Q266" i="4"/>
  <c r="Q45" i="4"/>
  <c r="Q531" i="4"/>
  <c r="Q223" i="4"/>
  <c r="Q187" i="4"/>
  <c r="Q33" i="4"/>
  <c r="Q61" i="4"/>
  <c r="Q556" i="4"/>
  <c r="Q275" i="4"/>
  <c r="Q288" i="4"/>
  <c r="Q395" i="4"/>
  <c r="Q153" i="4"/>
  <c r="Q129" i="4"/>
  <c r="Q51" i="4"/>
  <c r="Q132" i="4"/>
  <c r="Q265" i="4"/>
  <c r="Q156" i="4"/>
  <c r="Q537" i="4"/>
  <c r="Q454" i="4"/>
  <c r="Q35" i="4"/>
  <c r="Q389" i="4"/>
  <c r="Q250" i="4"/>
  <c r="Q536" i="4"/>
  <c r="Q341" i="4"/>
  <c r="Q460" i="4"/>
  <c r="Q323" i="4"/>
  <c r="Q535" i="4"/>
  <c r="Q370" i="4"/>
  <c r="Q447" i="4"/>
  <c r="Q344" i="4"/>
  <c r="Q184" i="4"/>
  <c r="Q167" i="4"/>
  <c r="Q46" i="4"/>
  <c r="Q339" i="4"/>
  <c r="Q285" i="4"/>
  <c r="Q114" i="4"/>
  <c r="Q413" i="4"/>
  <c r="Q185" i="4"/>
  <c r="Q279" i="4"/>
  <c r="Q287" i="4"/>
  <c r="Q390" i="4"/>
  <c r="Q286" i="4"/>
  <c r="Q270" i="4"/>
  <c r="Q125" i="4"/>
  <c r="Q490" i="4"/>
  <c r="Q427" i="4"/>
  <c r="Q284" i="4"/>
  <c r="Q47" i="4"/>
  <c r="Q134" i="4"/>
  <c r="Q27" i="4"/>
  <c r="Q549" i="4"/>
  <c r="Q381" i="4"/>
  <c r="Q481" i="4"/>
  <c r="Q448" i="4"/>
  <c r="Q365" i="4"/>
  <c r="Q259" i="4"/>
  <c r="Q88" i="4"/>
  <c r="Q385" i="4"/>
  <c r="Q110" i="4"/>
  <c r="Q470" i="4"/>
  <c r="Q79" i="4"/>
  <c r="Q388" i="4"/>
  <c r="Q89" i="4"/>
  <c r="Q382" i="4"/>
  <c r="Q350" i="4"/>
  <c r="Q538" i="4"/>
  <c r="Q360" i="4"/>
  <c r="Q442" i="4"/>
  <c r="Q358" i="4"/>
  <c r="Q417" i="4"/>
  <c r="Q227" i="4"/>
  <c r="Q332" i="4"/>
  <c r="Q461" i="4"/>
  <c r="Q252" i="4"/>
  <c r="Q462" i="4"/>
  <c r="Q133" i="4"/>
  <c r="Q498" i="4"/>
  <c r="Q90" i="4"/>
  <c r="Q425" i="4"/>
  <c r="Q159" i="4"/>
  <c r="Q191" i="4"/>
  <c r="Q473" i="4"/>
  <c r="Q410" i="4"/>
  <c r="Q231" i="4"/>
  <c r="Q342" i="4"/>
  <c r="Q251" i="4"/>
  <c r="Q175" i="4"/>
  <c r="Q68" i="4"/>
  <c r="Q127" i="4"/>
  <c r="Q452" i="4"/>
  <c r="Q450" i="4"/>
  <c r="Q136" i="4"/>
  <c r="Q504" i="4"/>
  <c r="Q219" i="4"/>
  <c r="Q145" i="4"/>
  <c r="Q96" i="4"/>
  <c r="Q103" i="4"/>
  <c r="Q548" i="4"/>
  <c r="Q346" i="4"/>
  <c r="Q39" i="4"/>
  <c r="Q102" i="4"/>
  <c r="Q415" i="4"/>
  <c r="Q131" i="4"/>
  <c r="Q247" i="4"/>
  <c r="Q178" i="4"/>
  <c r="Q195" i="4"/>
  <c r="Q516" i="4"/>
  <c r="Q329" i="4"/>
  <c r="Q111" i="4"/>
  <c r="Q496" i="4"/>
  <c r="Q21" i="4"/>
  <c r="Q241" i="4"/>
  <c r="Q386" i="4"/>
  <c r="Q314" i="4"/>
  <c r="Q485" i="4"/>
  <c r="Q522" i="4"/>
  <c r="Q530" i="4"/>
  <c r="Q428" i="4"/>
  <c r="Q394" i="4"/>
  <c r="Q277" i="4"/>
  <c r="Q521" i="4"/>
  <c r="Q237" i="4"/>
  <c r="Q383" i="4"/>
  <c r="Q402" i="4"/>
  <c r="Q477" i="4"/>
  <c r="Q387" i="4"/>
  <c r="Q254" i="4"/>
  <c r="Q226" i="4"/>
  <c r="Q232" i="4"/>
  <c r="Q262" i="4"/>
  <c r="Q228" i="4"/>
  <c r="Q210" i="4"/>
  <c r="Q204" i="4"/>
  <c r="Q36" i="4"/>
  <c r="Q8" i="4"/>
  <c r="Q550" i="4"/>
  <c r="Q116" i="4"/>
  <c r="Q95" i="4"/>
  <c r="Q292" i="4"/>
  <c r="Q183" i="4"/>
  <c r="Q424" i="4"/>
  <c r="Q489" i="4"/>
  <c r="Q309" i="4"/>
  <c r="Q213" i="4"/>
  <c r="Q407" i="4"/>
  <c r="Q439" i="4"/>
  <c r="Q456" i="4"/>
  <c r="Q139" i="4"/>
  <c r="Q478" i="4"/>
  <c r="Q436" i="4"/>
  <c r="Q267" i="4"/>
  <c r="Q69" i="4"/>
  <c r="Q198" i="4"/>
  <c r="Q242" i="4"/>
  <c r="Q515" i="4"/>
  <c r="Q507" i="4"/>
  <c r="Q347" i="4"/>
  <c r="Q426" i="4"/>
  <c r="Q31" i="4"/>
  <c r="Q49" i="4"/>
  <c r="Q435" i="4"/>
  <c r="Q349" i="4"/>
  <c r="Q12" i="4"/>
  <c r="Q209" i="4"/>
  <c r="Q430" i="4"/>
  <c r="Q222" i="4"/>
  <c r="Q300" i="4"/>
  <c r="Q10" i="4"/>
  <c r="Q197" i="4"/>
  <c r="Q324" i="4"/>
  <c r="Q104" i="4"/>
  <c r="Q500" i="4"/>
  <c r="Q83" i="4"/>
  <c r="Q130" i="4"/>
  <c r="Q338" i="4"/>
  <c r="Q356" i="4"/>
  <c r="Q13" i="4"/>
  <c r="Q217" i="4"/>
  <c r="Q546" i="4"/>
  <c r="Q291" i="4"/>
  <c r="Q168" i="4"/>
  <c r="Q128" i="4"/>
  <c r="Q319" i="4"/>
  <c r="Q403" i="4"/>
  <c r="Q325" i="4"/>
  <c r="Q249" i="4"/>
  <c r="Q211" i="4"/>
  <c r="Q318" i="4"/>
  <c r="Q147" i="4"/>
  <c r="Q296" i="4"/>
  <c r="Q55" i="4"/>
  <c r="Q544" i="4"/>
  <c r="Q359" i="4"/>
  <c r="Q193" i="4"/>
  <c r="Q229" i="4"/>
  <c r="Q59" i="4"/>
  <c r="Q60" i="4"/>
  <c r="Q216" i="4"/>
  <c r="Q401" i="4"/>
  <c r="Q524" i="4"/>
  <c r="Q24" i="4"/>
  <c r="R140" i="6"/>
  <c r="R328" i="6"/>
  <c r="R126" i="6"/>
  <c r="R344" i="6"/>
  <c r="R340" i="6"/>
  <c r="R247" i="6"/>
  <c r="R156" i="6"/>
  <c r="R370" i="6"/>
  <c r="R195" i="6"/>
  <c r="R438" i="6"/>
  <c r="R236" i="6"/>
  <c r="R315" i="6"/>
  <c r="R377" i="6"/>
  <c r="R450" i="6"/>
  <c r="R334" i="6"/>
  <c r="R148" i="6"/>
  <c r="R184" i="6"/>
  <c r="R410" i="6"/>
  <c r="R243" i="6"/>
  <c r="R346" i="6"/>
  <c r="R388" i="6"/>
  <c r="R129" i="6"/>
  <c r="R76" i="6"/>
  <c r="R541" i="6"/>
  <c r="R205" i="6"/>
  <c r="R176" i="6"/>
  <c r="R451" i="6"/>
  <c r="R197" i="6"/>
  <c r="R533" i="6"/>
  <c r="R204" i="6"/>
  <c r="R539" i="6"/>
  <c r="R192" i="6"/>
  <c r="R103" i="6"/>
  <c r="R117" i="6"/>
  <c r="R107" i="6"/>
  <c r="R463" i="6"/>
  <c r="R345" i="6"/>
  <c r="R30" i="6"/>
  <c r="R265" i="6"/>
  <c r="R18" i="6"/>
  <c r="R470" i="6"/>
  <c r="R292" i="6"/>
  <c r="R402" i="6"/>
  <c r="R417" i="6"/>
  <c r="R83" i="6"/>
  <c r="R275" i="6"/>
  <c r="R458" i="6"/>
  <c r="R291" i="6"/>
  <c r="R114" i="6"/>
  <c r="R250" i="6"/>
  <c r="R407" i="6"/>
  <c r="R456" i="6"/>
  <c r="R7" i="6"/>
  <c r="R245" i="6"/>
  <c r="R342" i="6"/>
  <c r="R532" i="6"/>
  <c r="R278" i="6"/>
  <c r="R105" i="6"/>
  <c r="R505" i="6"/>
  <c r="R445" i="6"/>
  <c r="R311" i="6"/>
  <c r="R335" i="6"/>
  <c r="R528" i="6"/>
  <c r="R490" i="6"/>
  <c r="R56" i="6"/>
  <c r="R154" i="6"/>
  <c r="R134" i="6"/>
  <c r="R65" i="6"/>
  <c r="R97" i="6"/>
  <c r="R290" i="6"/>
  <c r="R446" i="6"/>
  <c r="R70" i="6"/>
  <c r="R339" i="6"/>
  <c r="R12" i="6"/>
  <c r="R93" i="6"/>
  <c r="R422" i="6"/>
  <c r="R303" i="6"/>
  <c r="R411" i="6"/>
  <c r="R272" i="6"/>
  <c r="R507" i="6"/>
  <c r="R399" i="6"/>
  <c r="R515" i="6"/>
  <c r="R218" i="6"/>
  <c r="R336" i="6"/>
  <c r="R432" i="6"/>
  <c r="R229" i="6"/>
  <c r="R536" i="6"/>
  <c r="R142" i="6"/>
  <c r="R16" i="6"/>
  <c r="R84" i="6"/>
  <c r="R501" i="6"/>
  <c r="R79" i="6"/>
  <c r="R319" i="6"/>
  <c r="R381" i="6"/>
  <c r="R208" i="6"/>
  <c r="R366" i="6"/>
  <c r="R119" i="6"/>
  <c r="R296" i="6"/>
  <c r="R306" i="6"/>
  <c r="R179" i="6"/>
  <c r="R547" i="6"/>
  <c r="R508" i="6"/>
  <c r="R325" i="6"/>
  <c r="R21" i="6"/>
  <c r="R301" i="6"/>
  <c r="R389" i="6"/>
  <c r="R522" i="6"/>
  <c r="R211" i="6"/>
  <c r="R60" i="6"/>
  <c r="R478" i="6"/>
  <c r="R120" i="6"/>
  <c r="R254" i="6"/>
  <c r="R548" i="6"/>
  <c r="R251" i="6"/>
  <c r="R343" i="6"/>
  <c r="R233" i="6"/>
  <c r="R473" i="6"/>
  <c r="R177" i="6"/>
  <c r="R125" i="6"/>
  <c r="R437" i="6"/>
  <c r="R521" i="6"/>
  <c r="R288" i="6"/>
  <c r="R503" i="6"/>
  <c r="R298" i="6"/>
  <c r="R531" i="6"/>
  <c r="R545" i="6"/>
  <c r="R266" i="6"/>
  <c r="R390" i="6"/>
  <c r="R32" i="6"/>
  <c r="R284" i="6"/>
  <c r="R181" i="6"/>
  <c r="R160" i="6"/>
  <c r="R435" i="6"/>
  <c r="R215" i="6"/>
  <c r="R198" i="6"/>
  <c r="R479" i="6"/>
  <c r="R426" i="6"/>
  <c r="R502" i="6"/>
  <c r="R89" i="6"/>
  <c r="R164" i="6"/>
  <c r="R310" i="6"/>
  <c r="R101" i="6"/>
  <c r="R45" i="6"/>
  <c r="R194" i="6"/>
  <c r="R147" i="6"/>
  <c r="R364" i="6"/>
  <c r="R374" i="6"/>
  <c r="R202" i="6"/>
  <c r="R327" i="6"/>
  <c r="R98" i="6"/>
  <c r="R67" i="6"/>
  <c r="R161" i="6"/>
  <c r="R544" i="6"/>
  <c r="R489" i="6"/>
  <c r="R420" i="6"/>
  <c r="R552" i="6"/>
  <c r="R136" i="6"/>
  <c r="R252" i="6"/>
  <c r="R439" i="6"/>
  <c r="R436" i="6"/>
  <c r="R222" i="6"/>
  <c r="R253" i="6"/>
  <c r="R225" i="6"/>
  <c r="R49" i="6"/>
  <c r="R514" i="6"/>
  <c r="R231" i="6"/>
  <c r="R418" i="6"/>
  <c r="R309" i="6"/>
  <c r="R137" i="6"/>
  <c r="R556" i="6"/>
  <c r="R367" i="6"/>
  <c r="R472" i="6"/>
  <c r="R276" i="6"/>
  <c r="R175" i="6"/>
  <c r="R462" i="6"/>
  <c r="R203" i="6"/>
  <c r="R143" i="6"/>
  <c r="R424" i="6"/>
  <c r="R406" i="6"/>
  <c r="R474" i="6"/>
  <c r="R43" i="6"/>
  <c r="R116" i="6"/>
  <c r="R257" i="6"/>
  <c r="R313" i="6"/>
  <c r="R239" i="6"/>
  <c r="R551" i="6"/>
  <c r="R110" i="6"/>
  <c r="R318" i="6"/>
  <c r="R372" i="6"/>
  <c r="R281" i="6"/>
  <c r="R138" i="6"/>
  <c r="R152" i="6"/>
  <c r="R47" i="6"/>
  <c r="R526" i="6"/>
  <c r="R425" i="6"/>
  <c r="R11" i="6"/>
  <c r="R26" i="6"/>
  <c r="R356" i="6"/>
  <c r="R457" i="6"/>
  <c r="R224" i="6"/>
  <c r="R31" i="6"/>
  <c r="R273" i="6"/>
  <c r="R351" i="6"/>
  <c r="R52" i="6"/>
  <c r="R549" i="6"/>
  <c r="R85" i="6"/>
  <c r="R72" i="6"/>
  <c r="R261" i="6"/>
  <c r="R428" i="6"/>
  <c r="R200" i="6"/>
  <c r="R401" i="6"/>
  <c r="R466" i="6"/>
  <c r="R460" i="6"/>
  <c r="R421" i="6"/>
  <c r="R188" i="6"/>
  <c r="R413" i="6"/>
  <c r="R464" i="6"/>
  <c r="R248" i="6"/>
  <c r="R493" i="6"/>
  <c r="R15" i="6"/>
  <c r="R246" i="6"/>
  <c r="R53" i="6"/>
  <c r="R529" i="6"/>
  <c r="R384" i="6"/>
  <c r="R494" i="6"/>
  <c r="R24" i="6"/>
  <c r="R419" i="6"/>
  <c r="R330" i="6"/>
  <c r="R415" i="6"/>
  <c r="R268" i="6"/>
  <c r="R173" i="6"/>
  <c r="R408" i="6"/>
  <c r="R414" i="6"/>
  <c r="R66" i="6"/>
  <c r="R440" i="6"/>
  <c r="R127" i="6"/>
  <c r="R333" i="6"/>
  <c r="R180" i="6"/>
  <c r="R350" i="6"/>
  <c r="R37" i="6"/>
  <c r="R322" i="6"/>
  <c r="R57" i="6"/>
  <c r="R491" i="6"/>
  <c r="R341" i="6"/>
  <c r="R467" i="6"/>
  <c r="R454" i="6"/>
  <c r="R155" i="6"/>
  <c r="R244" i="6"/>
  <c r="R373" i="6"/>
  <c r="R300" i="6"/>
  <c r="R506" i="6"/>
  <c r="R241" i="6"/>
  <c r="R429" i="6"/>
  <c r="R513" i="6"/>
  <c r="R213" i="6"/>
  <c r="R555" i="6"/>
  <c r="R212" i="6"/>
  <c r="R242" i="6"/>
  <c r="R48" i="6"/>
  <c r="R185" i="6"/>
  <c r="R20" i="6"/>
  <c r="R497" i="6"/>
  <c r="R380" i="6"/>
  <c r="R317" i="6"/>
  <c r="R17" i="6"/>
  <c r="R295" i="6"/>
  <c r="R496" i="6"/>
  <c r="R519" i="6"/>
  <c r="R115" i="6"/>
  <c r="R448" i="6"/>
  <c r="R434" i="6"/>
  <c r="R546" i="6"/>
  <c r="R206" i="6"/>
  <c r="R447" i="6"/>
  <c r="R308" i="6"/>
  <c r="R357" i="6"/>
  <c r="R172" i="6"/>
  <c r="R353" i="6"/>
  <c r="R122" i="6"/>
  <c r="R28" i="6"/>
  <c r="R255" i="6"/>
  <c r="R41" i="6"/>
  <c r="R111" i="6"/>
  <c r="R69" i="6"/>
  <c r="R365" i="6"/>
  <c r="R542" i="6"/>
  <c r="R86" i="6"/>
  <c r="R71" i="6"/>
  <c r="R475" i="6"/>
  <c r="R151" i="6"/>
  <c r="R557" i="6"/>
  <c r="R262" i="6"/>
  <c r="R376" i="6"/>
  <c r="R387" i="6"/>
  <c r="R286" i="6"/>
  <c r="R118" i="6"/>
  <c r="R132" i="6"/>
  <c r="R289" i="6"/>
  <c r="R150" i="6"/>
  <c r="R87" i="6"/>
  <c r="R158" i="6"/>
  <c r="R186" i="6"/>
  <c r="R305" i="6"/>
  <c r="R433" i="6"/>
  <c r="R455" i="6"/>
  <c r="R90" i="6"/>
  <c r="R133" i="6"/>
  <c r="R516" i="6"/>
  <c r="R271" i="6"/>
  <c r="R504" i="6"/>
  <c r="R201" i="6"/>
  <c r="R312" i="6"/>
  <c r="R538" i="6"/>
  <c r="R64" i="6"/>
  <c r="R378" i="6"/>
  <c r="R157" i="6"/>
  <c r="R58" i="6"/>
  <c r="R320" i="6"/>
  <c r="R209" i="6"/>
  <c r="R398" i="6"/>
  <c r="R361" i="6"/>
  <c r="R131" i="6"/>
  <c r="R92" i="6"/>
  <c r="R96" i="6"/>
  <c r="R256" i="6"/>
  <c r="R323" i="6"/>
  <c r="R219" i="6"/>
  <c r="R492" i="6"/>
  <c r="R13" i="6"/>
  <c r="R520" i="6"/>
  <c r="R135" i="6"/>
  <c r="R430" i="6"/>
  <c r="R141" i="6"/>
  <c r="R427" i="6"/>
  <c r="R314" i="6"/>
  <c r="R123" i="6"/>
  <c r="R486" i="6"/>
  <c r="R537" i="6"/>
  <c r="R170" i="6"/>
  <c r="R128" i="6"/>
  <c r="R23" i="6"/>
  <c r="R29" i="6"/>
  <c r="R550" i="6"/>
  <c r="R19" i="6"/>
  <c r="R485" i="6"/>
  <c r="R55" i="6"/>
  <c r="R149" i="6"/>
  <c r="R46" i="6"/>
  <c r="R187" i="6"/>
  <c r="R469" i="6"/>
  <c r="R139" i="6"/>
  <c r="R400" i="6"/>
  <c r="R360" i="6"/>
  <c r="R146" i="6"/>
  <c r="R88" i="6"/>
  <c r="R193" i="6"/>
  <c r="R258" i="6"/>
  <c r="R104" i="6"/>
  <c r="R10" i="6"/>
  <c r="R331" i="6"/>
  <c r="R338" i="6"/>
  <c r="R124" i="6"/>
  <c r="R324" i="6"/>
  <c r="R130" i="6"/>
  <c r="R14" i="6"/>
  <c r="R396" i="6"/>
  <c r="R95" i="6"/>
  <c r="R63" i="6"/>
  <c r="R216" i="6"/>
  <c r="R416" i="6"/>
  <c r="R287" i="6"/>
  <c r="R329" i="6"/>
  <c r="R50" i="6"/>
  <c r="R347" i="6"/>
  <c r="R495" i="6"/>
  <c r="R385" i="6"/>
  <c r="R461" i="6"/>
  <c r="R42" i="6"/>
  <c r="R234" i="6"/>
  <c r="R423" i="6"/>
  <c r="R109" i="6"/>
  <c r="R511" i="6"/>
  <c r="R62" i="6"/>
  <c r="R297" i="6"/>
  <c r="R525" i="6"/>
  <c r="R352" i="6"/>
  <c r="R534" i="6"/>
  <c r="R468" i="6"/>
  <c r="R358" i="6"/>
  <c r="R499" i="6"/>
  <c r="R397" i="6"/>
  <c r="R40" i="6"/>
  <c r="R431" i="6"/>
  <c r="R217" i="6"/>
  <c r="R280" i="6"/>
  <c r="R228" i="6"/>
  <c r="R25" i="6"/>
  <c r="R279" i="6"/>
  <c r="R510" i="6"/>
  <c r="R412" i="6"/>
  <c r="R393" i="6"/>
  <c r="R363" i="6"/>
  <c r="R476" i="6"/>
  <c r="R174" i="6"/>
  <c r="R237" i="6"/>
  <c r="R106" i="6"/>
  <c r="R220" i="6"/>
  <c r="R371" i="6"/>
  <c r="R482" i="6"/>
  <c r="R223" i="6"/>
  <c r="R214" i="6"/>
  <c r="R267" i="6"/>
  <c r="R94" i="6"/>
  <c r="R483" i="6"/>
  <c r="R100" i="6"/>
  <c r="R35" i="6"/>
  <c r="R171" i="6"/>
  <c r="R442" i="6"/>
  <c r="R82" i="6"/>
  <c r="R484" i="6"/>
  <c r="R382" i="6"/>
  <c r="R9" i="6"/>
  <c r="R75" i="6"/>
  <c r="R386" i="6"/>
  <c r="R349" i="6"/>
  <c r="R249" i="6"/>
  <c r="R269" i="6"/>
  <c r="R543" i="6"/>
  <c r="R409" i="6"/>
  <c r="R210" i="6"/>
  <c r="R199" i="6"/>
  <c r="R81" i="6"/>
  <c r="R274" i="6"/>
  <c r="R207" i="6"/>
  <c r="R379" i="6"/>
  <c r="R285" i="6"/>
  <c r="R477" i="6"/>
  <c r="R299" i="6"/>
  <c r="R405" i="6"/>
  <c r="R144" i="6"/>
  <c r="R8" i="6"/>
  <c r="R332" i="6"/>
  <c r="R441" i="6"/>
  <c r="R77" i="6"/>
  <c r="R518" i="6"/>
  <c r="R59" i="6"/>
  <c r="R391" i="6"/>
  <c r="R394" i="6"/>
  <c r="R355" i="6"/>
  <c r="R293" i="6"/>
  <c r="R517" i="6"/>
  <c r="R304" i="6"/>
  <c r="R530" i="6"/>
  <c r="R102" i="6"/>
  <c r="R326" i="6"/>
  <c r="R230" i="6"/>
  <c r="R260" i="6"/>
  <c r="R80" i="6"/>
  <c r="R277" i="6"/>
  <c r="R34" i="6"/>
  <c r="R159" i="6"/>
  <c r="R112" i="6"/>
  <c r="R183" i="6"/>
  <c r="R264" i="6"/>
  <c r="R22" i="6"/>
  <c r="R487" i="6"/>
  <c r="R182" i="6"/>
  <c r="R232" i="6"/>
  <c r="R283" i="6"/>
  <c r="R196" i="6"/>
  <c r="R404" i="6"/>
  <c r="R540" i="6"/>
  <c r="R453" i="6"/>
  <c r="R227" i="6"/>
  <c r="R61" i="6"/>
  <c r="R39" i="6"/>
  <c r="R240" i="6"/>
  <c r="R36" i="6"/>
  <c r="R348" i="6"/>
  <c r="R302" i="6"/>
  <c r="R68" i="6"/>
  <c r="R108" i="6"/>
  <c r="R91" i="6"/>
  <c r="R535" i="6"/>
  <c r="R165" i="6"/>
  <c r="R392" i="6"/>
  <c r="R452" i="6"/>
  <c r="R362" i="6"/>
  <c r="R167" i="6"/>
  <c r="R44" i="6"/>
  <c r="R395" i="6"/>
  <c r="R145" i="6"/>
  <c r="R375" i="6"/>
  <c r="R337" i="6"/>
  <c r="R527" i="6"/>
  <c r="R166" i="6"/>
  <c r="R512" i="6"/>
  <c r="R524" i="6"/>
  <c r="R169" i="6"/>
  <c r="R368" i="6"/>
  <c r="R51" i="6"/>
  <c r="R54" i="6"/>
  <c r="R471" i="6"/>
  <c r="R74" i="6"/>
  <c r="R509" i="6"/>
  <c r="R444" i="6"/>
  <c r="R189" i="6"/>
  <c r="R443" i="6"/>
  <c r="R316" i="6"/>
  <c r="R498" i="6"/>
  <c r="R33" i="6"/>
  <c r="R168" i="6"/>
  <c r="R153" i="6"/>
  <c r="R178" i="6"/>
  <c r="R190" i="6"/>
  <c r="R121" i="6"/>
  <c r="R553" i="6"/>
  <c r="R221" i="6"/>
  <c r="R500" i="6"/>
  <c r="R270" i="6"/>
  <c r="R321" i="6"/>
  <c r="R78" i="6"/>
  <c r="R226" i="6"/>
  <c r="R523" i="6"/>
  <c r="R191" i="6"/>
  <c r="R480" i="6"/>
  <c r="R235" i="6"/>
  <c r="R113" i="6"/>
  <c r="R38" i="6"/>
  <c r="R27" i="6"/>
  <c r="R307" i="6"/>
  <c r="R383" i="6"/>
  <c r="R259" i="6"/>
  <c r="R238" i="6"/>
  <c r="R554" i="6"/>
  <c r="R294" i="6"/>
  <c r="R488" i="6"/>
  <c r="R449" i="6"/>
  <c r="R162" i="6"/>
  <c r="R99" i="6"/>
  <c r="R369" i="6"/>
  <c r="R465" i="6"/>
  <c r="R354" i="6"/>
  <c r="R282" i="6"/>
  <c r="R481" i="6"/>
  <c r="R263" i="6"/>
  <c r="R163" i="6"/>
  <c r="R459" i="6"/>
  <c r="R73" i="6"/>
  <c r="R403" i="6"/>
  <c r="R359" i="6"/>
  <c r="V397" i="4"/>
  <c r="V458" i="4"/>
  <c r="V411" i="4"/>
  <c r="V162" i="4"/>
  <c r="V340" i="4"/>
  <c r="V475" i="4"/>
  <c r="V182" i="4"/>
  <c r="V16" i="4"/>
  <c r="V9" i="4"/>
  <c r="V163" i="4"/>
  <c r="V56" i="4"/>
  <c r="V329" i="4"/>
  <c r="V555" i="4"/>
  <c r="V34" i="4"/>
  <c r="V483" i="4"/>
  <c r="V332" i="4"/>
  <c r="V251" i="4"/>
  <c r="V544" i="4"/>
  <c r="V158" i="4"/>
  <c r="V86" i="4"/>
  <c r="V200" i="4"/>
  <c r="V457" i="4"/>
  <c r="V64" i="4"/>
  <c r="V115" i="4"/>
  <c r="V281" i="4"/>
  <c r="V540" i="4"/>
  <c r="V482" i="4"/>
  <c r="V311" i="4"/>
  <c r="V62" i="4"/>
  <c r="V37" i="4"/>
  <c r="V370" i="4"/>
  <c r="V488" i="4"/>
  <c r="V382" i="4"/>
  <c r="V525" i="4"/>
  <c r="V246" i="4"/>
  <c r="V438" i="4"/>
  <c r="V508" i="4"/>
  <c r="V374" i="4"/>
  <c r="V520" i="4"/>
  <c r="V505" i="4"/>
  <c r="V146" i="4"/>
  <c r="V416" i="4"/>
  <c r="V429" i="4"/>
  <c r="V269" i="4"/>
  <c r="V58" i="4"/>
  <c r="V73" i="4"/>
  <c r="V310" i="4"/>
  <c r="V235" i="4"/>
  <c r="V449" i="4"/>
  <c r="V335" i="4"/>
  <c r="V463" i="4"/>
  <c r="V538" i="4"/>
  <c r="V484" i="4"/>
  <c r="V45" i="4"/>
  <c r="V166" i="4"/>
  <c r="V22" i="4"/>
  <c r="V153" i="4"/>
  <c r="V409" i="4"/>
  <c r="V554" i="4"/>
  <c r="V516" i="4"/>
  <c r="V132" i="4"/>
  <c r="V473" i="4"/>
  <c r="V481" i="4"/>
  <c r="V301" i="4"/>
  <c r="V121" i="4"/>
  <c r="V48" i="4"/>
  <c r="V531" i="4"/>
  <c r="V491" i="4"/>
  <c r="V547" i="4"/>
  <c r="V135" i="4"/>
  <c r="V552" i="4"/>
  <c r="V330" i="4"/>
  <c r="V406" i="4"/>
  <c r="V248" i="4"/>
  <c r="V177" i="4"/>
  <c r="V511" i="4"/>
  <c r="V466" i="4"/>
  <c r="V517" i="4"/>
  <c r="V493" i="4"/>
  <c r="V159" i="4"/>
  <c r="V53" i="4"/>
  <c r="V136" i="4"/>
  <c r="V15" i="4"/>
  <c r="V249" i="4"/>
  <c r="V255" i="4"/>
  <c r="V513" i="4"/>
  <c r="V134" i="4"/>
  <c r="V373" i="4"/>
  <c r="V100" i="4"/>
  <c r="V327" i="4"/>
  <c r="V427" i="4"/>
  <c r="V361" i="4"/>
  <c r="V279" i="4"/>
  <c r="V188" i="4"/>
  <c r="V101" i="4"/>
  <c r="V173" i="4"/>
  <c r="V40" i="4"/>
  <c r="V353" i="4"/>
  <c r="V219" i="4"/>
  <c r="V187" i="4"/>
  <c r="V305" i="4"/>
  <c r="V354" i="4"/>
  <c r="V197" i="4"/>
  <c r="V468" i="4"/>
  <c r="V436" i="4"/>
  <c r="V240" i="4"/>
  <c r="V174" i="4"/>
  <c r="V317" i="4"/>
  <c r="V315" i="4"/>
  <c r="V68" i="4"/>
  <c r="V434" i="4"/>
  <c r="V196" i="4"/>
  <c r="V76" i="4"/>
  <c r="V289" i="4"/>
  <c r="V412" i="4"/>
  <c r="V149" i="4"/>
  <c r="V190" i="4"/>
  <c r="V107" i="4"/>
  <c r="V206" i="4"/>
  <c r="V534" i="4"/>
  <c r="V527" i="4"/>
  <c r="V381" i="4"/>
  <c r="V55" i="4"/>
  <c r="V536" i="4"/>
  <c r="V400" i="4"/>
  <c r="V72" i="4"/>
  <c r="V451" i="4"/>
  <c r="V450" i="4"/>
  <c r="V141" i="4"/>
  <c r="V85" i="4"/>
  <c r="V470" i="4"/>
  <c r="V117" i="4"/>
  <c r="V518" i="4"/>
  <c r="V535" i="4"/>
  <c r="V528" i="4"/>
  <c r="V423" i="4"/>
  <c r="V420" i="4"/>
  <c r="V265" i="4"/>
  <c r="V212" i="4"/>
  <c r="V67" i="4"/>
  <c r="V546" i="4"/>
  <c r="V529" i="4"/>
  <c r="V334" i="4"/>
  <c r="V352" i="4"/>
  <c r="V497" i="4"/>
  <c r="V29" i="4"/>
  <c r="V333" i="4"/>
  <c r="V321" i="4"/>
  <c r="V169" i="4"/>
  <c r="V184" i="4"/>
  <c r="V79" i="4"/>
  <c r="V337" i="4"/>
  <c r="V304" i="4"/>
  <c r="V273" i="4"/>
  <c r="V360" i="4"/>
  <c r="V494" i="4"/>
  <c r="V145" i="4"/>
  <c r="V557" i="4"/>
  <c r="V380" i="4"/>
  <c r="V299" i="4"/>
  <c r="V431" i="4"/>
  <c r="V93" i="4"/>
  <c r="V391" i="4"/>
  <c r="V313" i="4"/>
  <c r="V225" i="4"/>
  <c r="V448" i="4"/>
  <c r="V542" i="4"/>
  <c r="V339" i="4"/>
  <c r="V110" i="4"/>
  <c r="V462" i="4"/>
  <c r="V11" i="4"/>
  <c r="V205" i="4"/>
  <c r="V157" i="4"/>
  <c r="V523" i="4"/>
  <c r="V533" i="4"/>
  <c r="V471" i="4"/>
  <c r="V81" i="4"/>
  <c r="V165" i="4"/>
  <c r="V23" i="4"/>
  <c r="V106" i="4"/>
  <c r="V244" i="4"/>
  <c r="V495" i="4"/>
  <c r="V408" i="4"/>
  <c r="V372" i="4"/>
  <c r="V256" i="4"/>
  <c r="V472" i="4"/>
  <c r="V263" i="4"/>
  <c r="V348" i="4"/>
  <c r="V414" i="4"/>
  <c r="V50" i="4"/>
  <c r="V503" i="4"/>
  <c r="V464" i="4"/>
  <c r="V170" i="4"/>
  <c r="V167" i="4"/>
  <c r="V365" i="4"/>
  <c r="V541" i="4"/>
  <c r="V490" i="4"/>
  <c r="V192" i="4"/>
  <c r="V13" i="4"/>
  <c r="V32" i="4"/>
  <c r="V268" i="4"/>
  <c r="V227" i="4"/>
  <c r="V26" i="4"/>
  <c r="V282" i="4"/>
  <c r="V28" i="4"/>
  <c r="V479" i="4"/>
  <c r="V297" i="4"/>
  <c r="V223" i="4"/>
  <c r="V201" i="4"/>
  <c r="V362" i="4"/>
  <c r="V278" i="4"/>
  <c r="V276" i="4"/>
  <c r="V175" i="4"/>
  <c r="V371" i="4"/>
  <c r="V469" i="4"/>
  <c r="V185" i="4"/>
  <c r="V82" i="4"/>
  <c r="V280" i="4"/>
  <c r="V127" i="4"/>
  <c r="V151" i="4"/>
  <c r="V442" i="4"/>
  <c r="V253" i="4"/>
  <c r="V480" i="4"/>
  <c r="V126" i="4"/>
  <c r="V108" i="4"/>
  <c r="V51" i="4"/>
  <c r="V111" i="4"/>
  <c r="V124" i="4"/>
  <c r="V341" i="4"/>
  <c r="V284" i="4"/>
  <c r="V133" i="4"/>
  <c r="V553" i="4"/>
  <c r="V54" i="4"/>
  <c r="V20" i="4"/>
  <c r="V142" i="4"/>
  <c r="V363" i="4"/>
  <c r="V444" i="4"/>
  <c r="V287" i="4"/>
  <c r="V70" i="4"/>
  <c r="V357" i="4"/>
  <c r="V288" i="4"/>
  <c r="V443" i="4"/>
  <c r="V214" i="4"/>
  <c r="V290" i="4"/>
  <c r="V258" i="4"/>
  <c r="V454" i="4"/>
  <c r="V52" i="4"/>
  <c r="V89" i="4"/>
  <c r="V35" i="4"/>
  <c r="V27" i="4"/>
  <c r="V18" i="4"/>
  <c r="V390" i="4"/>
  <c r="V179" i="4"/>
  <c r="V178" i="4"/>
  <c r="V33" i="4"/>
  <c r="V156" i="4"/>
  <c r="V447" i="4"/>
  <c r="V445" i="4"/>
  <c r="V181" i="4"/>
  <c r="V501" i="4"/>
  <c r="V425" i="4"/>
  <c r="V393" i="4"/>
  <c r="V474" i="4"/>
  <c r="V433" i="4"/>
  <c r="V80" i="4"/>
  <c r="V349" i="4"/>
  <c r="V328" i="4"/>
  <c r="V351" i="4"/>
  <c r="V455" i="4"/>
  <c r="V526" i="4"/>
  <c r="V125" i="4"/>
  <c r="V396" i="4"/>
  <c r="V164" i="4"/>
  <c r="V398" i="4"/>
  <c r="V487" i="4"/>
  <c r="V44" i="4"/>
  <c r="V376" i="4"/>
  <c r="V346" i="4"/>
  <c r="V410" i="4"/>
  <c r="V63" i="4"/>
  <c r="V152" i="4"/>
  <c r="V43" i="4"/>
  <c r="V308" i="4"/>
  <c r="V364" i="4"/>
  <c r="V61" i="4"/>
  <c r="V247" i="4"/>
  <c r="V231" i="4"/>
  <c r="V88" i="4"/>
  <c r="V476" i="4"/>
  <c r="V150" i="4"/>
  <c r="V65" i="4"/>
  <c r="V459" i="4"/>
  <c r="V556" i="4"/>
  <c r="V417" i="4"/>
  <c r="V138" i="4"/>
  <c r="V377" i="4"/>
  <c r="V236" i="4"/>
  <c r="V514" i="4"/>
  <c r="V548" i="4"/>
  <c r="V180" i="4"/>
  <c r="V84" i="4"/>
  <c r="V368" i="4"/>
  <c r="V129" i="4"/>
  <c r="V404" i="4"/>
  <c r="V512" i="4"/>
  <c r="V199" i="4"/>
  <c r="V439" i="4"/>
  <c r="V343" i="4"/>
  <c r="V539" i="4"/>
  <c r="V183" i="4"/>
  <c r="V109" i="4"/>
  <c r="V245" i="4"/>
  <c r="V78" i="4"/>
  <c r="V112" i="4"/>
  <c r="V123" i="4"/>
  <c r="V543" i="4"/>
  <c r="V47" i="4"/>
  <c r="V453" i="4"/>
  <c r="V87" i="4"/>
  <c r="V465" i="4"/>
  <c r="V131" i="4"/>
  <c r="V259" i="4"/>
  <c r="V30" i="4"/>
  <c r="V271" i="4"/>
  <c r="V257" i="4"/>
  <c r="V74" i="4"/>
  <c r="V234" i="4"/>
  <c r="V14" i="4"/>
  <c r="V57" i="4"/>
  <c r="V118" i="4"/>
  <c r="V203" i="4"/>
  <c r="V342" i="4"/>
  <c r="V312" i="4"/>
  <c r="V395" i="4"/>
  <c r="V94" i="4"/>
  <c r="V97" i="4"/>
  <c r="V422" i="4"/>
  <c r="V195" i="4"/>
  <c r="V519" i="4"/>
  <c r="V322" i="4"/>
  <c r="V386" i="4"/>
  <c r="V172" i="4"/>
  <c r="V119" i="4"/>
  <c r="V302" i="4"/>
  <c r="V467" i="4"/>
  <c r="V551" i="4"/>
  <c r="V384" i="4"/>
  <c r="V345" i="4"/>
  <c r="V171" i="4"/>
  <c r="V90" i="4"/>
  <c r="V224" i="4"/>
  <c r="V66" i="4"/>
  <c r="V392" i="4"/>
  <c r="V215" i="4"/>
  <c r="V274" i="4"/>
  <c r="V318" i="4"/>
  <c r="V298" i="4"/>
  <c r="V358" i="4"/>
  <c r="V75" i="4"/>
  <c r="V421" i="4"/>
  <c r="V418" i="4"/>
  <c r="V294" i="4"/>
  <c r="V413" i="4"/>
  <c r="V186" i="4"/>
  <c r="V42" i="4"/>
  <c r="V191" i="4"/>
  <c r="V137" i="4"/>
  <c r="V296" i="4"/>
  <c r="V143" i="4"/>
  <c r="V389" i="4"/>
  <c r="V379" i="4"/>
  <c r="V509" i="4"/>
  <c r="V432" i="4"/>
  <c r="V154" i="4"/>
  <c r="V537" i="4"/>
  <c r="V275" i="4"/>
  <c r="V286" i="4"/>
  <c r="V460" i="4"/>
  <c r="V91" i="4"/>
  <c r="V419" i="4"/>
  <c r="V208" i="4"/>
  <c r="V366" i="4"/>
  <c r="V207" i="4"/>
  <c r="V446" i="4"/>
  <c r="V102" i="4"/>
  <c r="V367" i="4"/>
  <c r="V113" i="4"/>
  <c r="V176" i="4"/>
  <c r="V96" i="4"/>
  <c r="V270" i="4"/>
  <c r="V504" i="4"/>
  <c r="V316" i="4"/>
  <c r="V46" i="4"/>
  <c r="V19" i="4"/>
  <c r="V155" i="4"/>
  <c r="V266" i="4"/>
  <c r="V549" i="4"/>
  <c r="V502" i="4"/>
  <c r="V331" i="4"/>
  <c r="V144" i="4"/>
  <c r="V39" i="4"/>
  <c r="V160" i="4"/>
  <c r="V355" i="4"/>
  <c r="V98" i="4"/>
  <c r="V243" i="4"/>
  <c r="V122" i="4"/>
  <c r="V148" i="4"/>
  <c r="V230" i="4"/>
  <c r="V498" i="4"/>
  <c r="V344" i="4"/>
  <c r="V506" i="4"/>
  <c r="V399" i="4"/>
  <c r="V38" i="4"/>
  <c r="V264" i="4"/>
  <c r="V77" i="4"/>
  <c r="V220" i="4"/>
  <c r="V424" i="4"/>
  <c r="V202" i="4"/>
  <c r="V272" i="4"/>
  <c r="V426" i="4"/>
  <c r="V103" i="4"/>
  <c r="V510" i="4"/>
  <c r="V499" i="4"/>
  <c r="V218" i="4"/>
  <c r="V95" i="4"/>
  <c r="V492" i="4"/>
  <c r="V92" i="4"/>
  <c r="V261" i="4"/>
  <c r="V221" i="4"/>
  <c r="V293" i="4"/>
  <c r="V303" i="4"/>
  <c r="V239" i="4"/>
  <c r="V189" i="4"/>
  <c r="V295" i="4"/>
  <c r="V25" i="4"/>
  <c r="V405" i="4"/>
  <c r="V441" i="4"/>
  <c r="V17" i="4"/>
  <c r="V440" i="4"/>
  <c r="V194" i="4"/>
  <c r="V326" i="4"/>
  <c r="V238" i="4"/>
  <c r="V307" i="4"/>
  <c r="V252" i="4"/>
  <c r="V283" i="4"/>
  <c r="V161" i="4"/>
  <c r="V388" i="4"/>
  <c r="V250" i="4"/>
  <c r="V114" i="4"/>
  <c r="V41" i="4"/>
  <c r="V323" i="4"/>
  <c r="V350" i="4"/>
  <c r="V461" i="4"/>
  <c r="V369" i="4"/>
  <c r="V452" i="4"/>
  <c r="V375" i="4"/>
  <c r="V105" i="4"/>
  <c r="V545" i="4"/>
  <c r="V437" i="4"/>
  <c r="V260" i="4"/>
  <c r="V532" i="4"/>
  <c r="V486" i="4"/>
  <c r="V336" i="4"/>
  <c r="V320" i="4"/>
  <c r="V550" i="4"/>
  <c r="V385" i="4"/>
  <c r="V120" i="4"/>
  <c r="V378" i="4"/>
  <c r="V71" i="4"/>
  <c r="V233" i="4"/>
  <c r="V99" i="4"/>
  <c r="V306" i="4"/>
  <c r="V116" i="4"/>
  <c r="V347" i="4"/>
  <c r="V291" i="4"/>
  <c r="V394" i="4"/>
  <c r="V213" i="4"/>
  <c r="V477" i="4"/>
  <c r="V254" i="4"/>
  <c r="V49" i="4"/>
  <c r="V430" i="4"/>
  <c r="V338" i="4"/>
  <c r="V521" i="4"/>
  <c r="V383" i="4"/>
  <c r="V530" i="4"/>
  <c r="V496" i="4"/>
  <c r="V222" i="4"/>
  <c r="V435" i="4"/>
  <c r="V228" i="4"/>
  <c r="V489" i="4"/>
  <c r="V8" i="4"/>
  <c r="V140" i="4"/>
  <c r="V485" i="4"/>
  <c r="V211" i="4"/>
  <c r="V21" i="4"/>
  <c r="V229" i="4"/>
  <c r="V226" i="4"/>
  <c r="V31" i="4"/>
  <c r="V478" i="4"/>
  <c r="V314" i="4"/>
  <c r="V241" i="4"/>
  <c r="V210" i="4"/>
  <c r="V193" i="4"/>
  <c r="V402" i="4"/>
  <c r="V292" i="4"/>
  <c r="V232" i="4"/>
  <c r="V415" i="4"/>
  <c r="V262" i="4"/>
  <c r="V356" i="4"/>
  <c r="V524" i="4"/>
  <c r="V456" i="4"/>
  <c r="V428" i="4"/>
  <c r="V309" i="4"/>
  <c r="V168" i="4"/>
  <c r="V209" i="4"/>
  <c r="V401" i="4"/>
  <c r="V217" i="4"/>
  <c r="V7" i="4"/>
  <c r="V500" i="4"/>
  <c r="V24" i="4"/>
  <c r="V36" i="4"/>
  <c r="V216" i="4"/>
  <c r="V147" i="4"/>
  <c r="V59" i="4"/>
  <c r="V242" i="4"/>
  <c r="V237" i="4"/>
  <c r="V104" i="4"/>
  <c r="V300" i="4"/>
  <c r="V325" i="4"/>
  <c r="V139" i="4"/>
  <c r="V324" i="4"/>
  <c r="V83" i="4"/>
  <c r="V285" i="4"/>
  <c r="V507" i="4"/>
  <c r="V198" i="4"/>
  <c r="V130" i="4"/>
  <c r="V10" i="4"/>
  <c r="V387" i="4"/>
  <c r="V403" i="4"/>
  <c r="V522" i="4"/>
  <c r="V407" i="4"/>
  <c r="V12" i="4"/>
  <c r="V128" i="4"/>
  <c r="V515" i="4"/>
  <c r="V60" i="4"/>
  <c r="V319" i="4"/>
  <c r="V359" i="4"/>
  <c r="V277" i="4"/>
  <c r="V69" i="4"/>
  <c r="V204" i="4"/>
  <c r="V267" i="4"/>
  <c r="Q429" i="4" l="1"/>
  <c r="Q7" i="4"/>
  <c r="Z7" i="4" s="1"/>
  <c r="Q50" i="4"/>
  <c r="Q400" i="4"/>
  <c r="Q268" i="4"/>
  <c r="Q311" i="4"/>
  <c r="Q202" i="4"/>
  <c r="Q404" i="4"/>
  <c r="Z404" i="4" s="1"/>
  <c r="AC404" i="4" s="1"/>
  <c r="AD404" i="4" s="1"/>
  <c r="Q372" i="4"/>
  <c r="Q409" i="4"/>
  <c r="Z409" i="4" s="1"/>
  <c r="AC409" i="4" s="1"/>
  <c r="Q106" i="4"/>
  <c r="Z106" i="4" s="1"/>
  <c r="AC106" i="4" s="1"/>
  <c r="Q92" i="4"/>
  <c r="Z92" i="4" s="1"/>
  <c r="AC92" i="4" s="1"/>
  <c r="Q298" i="4"/>
  <c r="Q274" i="4"/>
  <c r="Z274" i="4" s="1"/>
  <c r="AC274" i="4" s="1"/>
  <c r="Q255" i="4"/>
  <c r="Z255" i="4" s="1"/>
  <c r="AC255" i="4" s="1"/>
  <c r="Q357" i="4"/>
  <c r="Z357" i="4" s="1"/>
  <c r="AC357" i="4" s="1"/>
  <c r="Q196" i="4"/>
  <c r="Z196" i="4" s="1"/>
  <c r="AC196" i="4" s="1"/>
  <c r="Q281" i="4"/>
  <c r="Z281" i="4" s="1"/>
  <c r="AC281" i="4" s="1"/>
  <c r="Q494" i="4"/>
  <c r="Z494" i="4" s="1"/>
  <c r="AC494" i="4" s="1"/>
  <c r="AD494" i="4" s="1"/>
  <c r="Q293" i="4"/>
  <c r="Z293" i="4" s="1"/>
  <c r="AC293" i="4" s="1"/>
  <c r="Q243" i="4"/>
  <c r="Z243" i="4" s="1"/>
  <c r="AC243" i="4" s="1"/>
  <c r="Q378" i="4"/>
  <c r="Z378" i="4" s="1"/>
  <c r="AC378" i="4" s="1"/>
  <c r="Q141" i="4"/>
  <c r="Z141" i="4" s="1"/>
  <c r="AC141" i="4" s="1"/>
  <c r="Q438" i="4"/>
  <c r="Z438" i="4" s="1"/>
  <c r="AC438" i="4" s="1"/>
  <c r="Q63" i="4"/>
  <c r="Q174" i="4"/>
  <c r="Z174" i="4" s="1"/>
  <c r="AC174" i="4" s="1"/>
  <c r="Q487" i="4"/>
  <c r="Q208" i="4"/>
  <c r="Z208" i="4" s="1"/>
  <c r="AC208" i="4" s="1"/>
  <c r="Q11" i="4"/>
  <c r="Q364" i="4"/>
  <c r="Z364" i="4" s="1"/>
  <c r="AC364" i="4" s="1"/>
  <c r="Q244" i="4"/>
  <c r="Q335" i="4"/>
  <c r="Z335" i="4" s="1"/>
  <c r="AC335" i="4" s="1"/>
  <c r="Q78" i="4"/>
  <c r="Q363" i="4"/>
  <c r="Z363" i="4" s="1"/>
  <c r="AC363" i="4" s="1"/>
  <c r="Q135" i="4"/>
  <c r="Z135" i="4" s="1"/>
  <c r="AC135" i="4" s="1"/>
  <c r="Q497" i="4"/>
  <c r="Z497" i="4" s="1"/>
  <c r="AC497" i="4" s="1"/>
  <c r="Q113" i="4"/>
  <c r="Z113" i="4" s="1"/>
  <c r="AC113" i="4" s="1"/>
  <c r="Q475" i="4"/>
  <c r="Q399" i="4"/>
  <c r="Z399" i="4" s="1"/>
  <c r="AC399" i="4" s="1"/>
  <c r="Q468" i="4"/>
  <c r="Z468" i="4" s="1"/>
  <c r="AC468" i="4" s="1"/>
  <c r="Q157" i="4"/>
  <c r="Z157" i="4" s="1"/>
  <c r="AC157" i="4" s="1"/>
  <c r="Q380" i="4"/>
  <c r="Z380" i="4" s="1"/>
  <c r="AC380" i="4" s="1"/>
  <c r="Q148" i="4"/>
  <c r="Z148" i="4" s="1"/>
  <c r="AC148" i="4" s="1"/>
  <c r="Q118" i="4"/>
  <c r="Z118" i="4" s="1"/>
  <c r="AC118" i="4" s="1"/>
  <c r="Q501" i="4"/>
  <c r="Z501" i="4" s="1"/>
  <c r="AC501" i="4" s="1"/>
  <c r="Q225" i="4"/>
  <c r="Z225" i="4" s="1"/>
  <c r="AC225" i="4" s="1"/>
  <c r="Q62" i="4"/>
  <c r="Z62" i="4" s="1"/>
  <c r="AC62" i="4" s="1"/>
  <c r="Q557" i="4"/>
  <c r="Z557" i="4" s="1"/>
  <c r="AC557" i="4" s="1"/>
  <c r="Q98" i="4"/>
  <c r="Q52" i="5"/>
  <c r="Z52" i="5" s="1"/>
  <c r="AC52" i="5" s="1"/>
  <c r="AD52" i="5" s="1"/>
  <c r="Q44" i="5"/>
  <c r="Q25" i="5"/>
  <c r="Z25" i="5" s="1"/>
  <c r="AC25" i="5" s="1"/>
  <c r="Q67" i="5"/>
  <c r="Q22" i="5"/>
  <c r="Q54" i="5"/>
  <c r="Q18" i="5"/>
  <c r="Z18" i="5" s="1"/>
  <c r="AC18" i="5" s="1"/>
  <c r="Q66" i="5"/>
  <c r="Q11" i="5"/>
  <c r="Z11" i="5" s="1"/>
  <c r="AC11" i="5" s="1"/>
  <c r="Q16" i="5"/>
  <c r="Q56" i="5"/>
  <c r="Z56" i="5" s="1"/>
  <c r="AC56" i="5" s="1"/>
  <c r="AD56" i="5" s="1"/>
  <c r="Q9" i="5"/>
  <c r="Q14" i="5"/>
  <c r="Z14" i="5" s="1"/>
  <c r="AC14" i="5" s="1"/>
  <c r="Q24" i="5"/>
  <c r="Z24" i="5" s="1"/>
  <c r="AC24" i="5" s="1"/>
  <c r="Q61" i="5"/>
  <c r="Z61" i="5" s="1"/>
  <c r="AC61" i="5" s="1"/>
  <c r="Q17" i="5"/>
  <c r="Z17" i="5" s="1"/>
  <c r="AC17" i="5" s="1"/>
  <c r="Q43" i="5"/>
  <c r="Z43" i="5" s="1"/>
  <c r="AC43" i="5" s="1"/>
  <c r="Q75" i="5"/>
  <c r="Z75" i="5" s="1"/>
  <c r="AC75" i="5" s="1"/>
  <c r="AD75" i="5" s="1"/>
  <c r="Q65" i="5"/>
  <c r="Z65" i="5" s="1"/>
  <c r="AC65" i="5" s="1"/>
  <c r="AD65" i="5" s="1"/>
  <c r="Q69" i="5"/>
  <c r="Z69" i="5" s="1"/>
  <c r="AC69" i="5" s="1"/>
  <c r="AD69" i="5" s="1"/>
  <c r="AF69" i="5" s="1"/>
  <c r="Q58" i="5"/>
  <c r="Z58" i="5" s="1"/>
  <c r="AC58" i="5" s="1"/>
  <c r="Q38" i="5"/>
  <c r="Z38" i="5" s="1"/>
  <c r="AC38" i="5" s="1"/>
  <c r="Q51" i="5"/>
  <c r="Z51" i="5" s="1"/>
  <c r="AC51" i="5" s="1"/>
  <c r="AD51" i="5" s="1"/>
  <c r="Q78" i="5"/>
  <c r="Q49" i="5"/>
  <c r="Z49" i="5" s="1"/>
  <c r="AC49" i="5" s="1"/>
  <c r="Q23" i="5"/>
  <c r="Q15" i="5"/>
  <c r="Z15" i="5" s="1"/>
  <c r="AC15" i="5" s="1"/>
  <c r="Q77" i="5"/>
  <c r="Q64" i="5"/>
  <c r="Z64" i="5" s="1"/>
  <c r="AC64" i="5" s="1"/>
  <c r="AD64" i="5" s="1"/>
  <c r="Q47" i="5"/>
  <c r="Q34" i="5"/>
  <c r="Q33" i="5"/>
  <c r="Q50" i="5"/>
  <c r="Q28" i="5"/>
  <c r="Q63" i="5"/>
  <c r="Z63" i="5" s="1"/>
  <c r="AC63" i="5" s="1"/>
  <c r="Q62" i="5"/>
  <c r="Z62" i="5" s="1"/>
  <c r="AC62" i="5" s="1"/>
  <c r="AD62" i="5" s="1"/>
  <c r="B62" i="18"/>
  <c r="AA16" i="7"/>
  <c r="Z154" i="4"/>
  <c r="AC154" i="4" s="1"/>
  <c r="Z55" i="4"/>
  <c r="AC55" i="4" s="1"/>
  <c r="Z101" i="4"/>
  <c r="AC101" i="4" s="1"/>
  <c r="Y99" i="6"/>
  <c r="AC99" i="6" s="1"/>
  <c r="AD99" i="6" s="1"/>
  <c r="Y493" i="6"/>
  <c r="AC493" i="6" s="1"/>
  <c r="AD493" i="6" s="1"/>
  <c r="Y453" i="6"/>
  <c r="AC453" i="6" s="1"/>
  <c r="AD453" i="6" s="1"/>
  <c r="Y530" i="6"/>
  <c r="AC530" i="6" s="1"/>
  <c r="AD530" i="6" s="1"/>
  <c r="Y523" i="6"/>
  <c r="AC523" i="6" s="1"/>
  <c r="AD523" i="6" s="1"/>
  <c r="Y461" i="6"/>
  <c r="AC461" i="6" s="1"/>
  <c r="AD461" i="6" s="1"/>
  <c r="Y295" i="6"/>
  <c r="AC295" i="6" s="1"/>
  <c r="AD295" i="6" s="1"/>
  <c r="Y314" i="6"/>
  <c r="AC314" i="6" s="1"/>
  <c r="AD314" i="6" s="1"/>
  <c r="Y110" i="6"/>
  <c r="AC110" i="6" s="1"/>
  <c r="AD110" i="6" s="1"/>
  <c r="Y227" i="6"/>
  <c r="AC227" i="6" s="1"/>
  <c r="AD227" i="6" s="1"/>
  <c r="Y175" i="6"/>
  <c r="AC175" i="6" s="1"/>
  <c r="AD175" i="6" s="1"/>
  <c r="Y549" i="6"/>
  <c r="AC549" i="6" s="1"/>
  <c r="AD549" i="6" s="1"/>
  <c r="Y299" i="6"/>
  <c r="AC299" i="6" s="1"/>
  <c r="AD299" i="6" s="1"/>
  <c r="Y49" i="6"/>
  <c r="AC49" i="6" s="1"/>
  <c r="AD49" i="6" s="1"/>
  <c r="Y345" i="6"/>
  <c r="AC345" i="6" s="1"/>
  <c r="AD345" i="6" s="1"/>
  <c r="Y50" i="6"/>
  <c r="AC50" i="6" s="1"/>
  <c r="AD50" i="6" s="1"/>
  <c r="Y344" i="6"/>
  <c r="AC344" i="6" s="1"/>
  <c r="AD344" i="6" s="1"/>
  <c r="Y89" i="6"/>
  <c r="AC89" i="6" s="1"/>
  <c r="AD89" i="6" s="1"/>
  <c r="Y236" i="6"/>
  <c r="AC236" i="6" s="1"/>
  <c r="AD236" i="6" s="1"/>
  <c r="Y521" i="6"/>
  <c r="AC521" i="6" s="1"/>
  <c r="AD521" i="6" s="1"/>
  <c r="Z20" i="5"/>
  <c r="AC20" i="5" s="1"/>
  <c r="Z403" i="4"/>
  <c r="AC403" i="4" s="1"/>
  <c r="AD403" i="4" s="1"/>
  <c r="AF403" i="4" s="1"/>
  <c r="Z325" i="4"/>
  <c r="AC325" i="4" s="1"/>
  <c r="Z144" i="4"/>
  <c r="AC144" i="4" s="1"/>
  <c r="Z93" i="4"/>
  <c r="AC93" i="4" s="1"/>
  <c r="Z321" i="4"/>
  <c r="AC321" i="4" s="1"/>
  <c r="Z65" i="4"/>
  <c r="AC65" i="4" s="1"/>
  <c r="Z22" i="4"/>
  <c r="AC22" i="4" s="1"/>
  <c r="Z315" i="4"/>
  <c r="AC315" i="4" s="1"/>
  <c r="Z46" i="4"/>
  <c r="AC46" i="4" s="1"/>
  <c r="Z175" i="4"/>
  <c r="AC175" i="4" s="1"/>
  <c r="Z269" i="4"/>
  <c r="AC269" i="4" s="1"/>
  <c r="Z117" i="4"/>
  <c r="AC117" i="4" s="1"/>
  <c r="Z352" i="4"/>
  <c r="AC352" i="4" s="1"/>
  <c r="Z171" i="4"/>
  <c r="AC171" i="4" s="1"/>
  <c r="Z534" i="4"/>
  <c r="AC534" i="4" s="1"/>
  <c r="Z268" i="4"/>
  <c r="AC268" i="4" s="1"/>
  <c r="Z460" i="4"/>
  <c r="AC460" i="4" s="1"/>
  <c r="Z32" i="4"/>
  <c r="AC32" i="4" s="1"/>
  <c r="Z358" i="4"/>
  <c r="AC358" i="4" s="1"/>
  <c r="Z510" i="4"/>
  <c r="AC510" i="4" s="1"/>
  <c r="AD510" i="4" s="1"/>
  <c r="AG510" i="4" s="1"/>
  <c r="AH510" i="4" s="1"/>
  <c r="F44" i="18"/>
  <c r="Z427" i="4"/>
  <c r="AC427" i="4" s="1"/>
  <c r="AD427" i="4" s="1"/>
  <c r="AF427" i="4" s="1"/>
  <c r="Z446" i="4"/>
  <c r="AC446" i="4" s="1"/>
  <c r="Y108" i="6"/>
  <c r="AC108" i="6" s="1"/>
  <c r="AD108" i="6" s="1"/>
  <c r="Y540" i="6"/>
  <c r="AC540" i="6" s="1"/>
  <c r="AD540" i="6" s="1"/>
  <c r="Y210" i="6"/>
  <c r="AC210" i="6" s="1"/>
  <c r="AD210" i="6" s="1"/>
  <c r="Y255" i="6"/>
  <c r="AC255" i="6" s="1"/>
  <c r="AD255" i="6" s="1"/>
  <c r="Y499" i="6"/>
  <c r="AC499" i="6" s="1"/>
  <c r="AD499" i="6" s="1"/>
  <c r="Y19" i="6"/>
  <c r="AC19" i="6" s="1"/>
  <c r="AD19" i="6" s="1"/>
  <c r="Y516" i="6"/>
  <c r="AC516" i="6" s="1"/>
  <c r="AD516" i="6" s="1"/>
  <c r="Y278" i="6"/>
  <c r="AC278" i="6" s="1"/>
  <c r="AD278" i="6" s="1"/>
  <c r="Y419" i="6"/>
  <c r="AC419" i="6" s="1"/>
  <c r="AD419" i="6" s="1"/>
  <c r="Y132" i="6"/>
  <c r="AC132" i="6" s="1"/>
  <c r="AD132" i="6" s="1"/>
  <c r="Y292" i="6"/>
  <c r="AC292" i="6" s="1"/>
  <c r="AD292" i="6" s="1"/>
  <c r="Y546" i="6"/>
  <c r="AC546" i="6" s="1"/>
  <c r="AD546" i="6" s="1"/>
  <c r="Z35" i="4"/>
  <c r="AC35" i="4" s="1"/>
  <c r="Z79" i="4"/>
  <c r="AC79" i="4" s="1"/>
  <c r="Z183" i="4"/>
  <c r="AC183" i="4" s="1"/>
  <c r="Z484" i="4"/>
  <c r="AC484" i="4" s="1"/>
  <c r="Z276" i="4"/>
  <c r="AC276" i="4" s="1"/>
  <c r="Y500" i="6"/>
  <c r="AC500" i="6" s="1"/>
  <c r="AD500" i="6" s="1"/>
  <c r="Y65" i="6"/>
  <c r="AC65" i="6" s="1"/>
  <c r="AD65" i="6" s="1"/>
  <c r="Y135" i="6"/>
  <c r="AC135" i="6" s="1"/>
  <c r="AD135" i="6" s="1"/>
  <c r="Y64" i="6"/>
  <c r="AC64" i="6" s="1"/>
  <c r="AD64" i="6" s="1"/>
  <c r="Y90" i="6"/>
  <c r="AC90" i="6" s="1"/>
  <c r="AD90" i="6" s="1"/>
  <c r="Y277" i="6"/>
  <c r="AC277" i="6" s="1"/>
  <c r="AD277" i="6" s="1"/>
  <c r="Y433" i="6"/>
  <c r="AC433" i="6" s="1"/>
  <c r="AD433" i="6" s="1"/>
  <c r="Y86" i="6"/>
  <c r="AC86" i="6" s="1"/>
  <c r="AD86" i="6" s="1"/>
  <c r="Y363" i="6"/>
  <c r="AC363" i="6" s="1"/>
  <c r="AD363" i="6" s="1"/>
  <c r="Y205" i="6"/>
  <c r="AC205" i="6" s="1"/>
  <c r="AD205" i="6" s="1"/>
  <c r="Y544" i="6"/>
  <c r="AC544" i="6" s="1"/>
  <c r="AD544" i="6" s="1"/>
  <c r="Y84" i="6"/>
  <c r="AC84" i="6" s="1"/>
  <c r="AD84" i="6" s="1"/>
  <c r="O8" i="50"/>
  <c r="P8" i="50" s="1"/>
  <c r="O10" i="50"/>
  <c r="P10" i="50" s="1"/>
  <c r="O7" i="50"/>
  <c r="P7" i="50" s="1"/>
  <c r="O9" i="50"/>
  <c r="P9" i="50" s="1"/>
  <c r="C44" i="18"/>
  <c r="D41" i="18"/>
  <c r="D44" i="18" s="1"/>
  <c r="Y193" i="6"/>
  <c r="AC193" i="6" s="1"/>
  <c r="AD193" i="6" s="1"/>
  <c r="Z401" i="4"/>
  <c r="AC401" i="4" s="1"/>
  <c r="Z518" i="4"/>
  <c r="AC518" i="4" s="1"/>
  <c r="Z292" i="4"/>
  <c r="AC292" i="4" s="1"/>
  <c r="Z412" i="4"/>
  <c r="AC412" i="4" s="1"/>
  <c r="Z43" i="4"/>
  <c r="AC43" i="4" s="1"/>
  <c r="Z306" i="4"/>
  <c r="AC306" i="4" s="1"/>
  <c r="Z476" i="4"/>
  <c r="AC476" i="4" s="1"/>
  <c r="Z381" i="4"/>
  <c r="AC381" i="4" s="1"/>
  <c r="Z112" i="4"/>
  <c r="AC112" i="4" s="1"/>
  <c r="Z313" i="4"/>
  <c r="AC313" i="4" s="1"/>
  <c r="Z132" i="4"/>
  <c r="AC132" i="4" s="1"/>
  <c r="Z197" i="4"/>
  <c r="AC197" i="4" s="1"/>
  <c r="Z134" i="4"/>
  <c r="AC134" i="4" s="1"/>
  <c r="Z69" i="4"/>
  <c r="AC69" i="4" s="1"/>
  <c r="Z23" i="5"/>
  <c r="AC23" i="5" s="1"/>
  <c r="Z165" i="4"/>
  <c r="AC165" i="4" s="1"/>
  <c r="Y492" i="6"/>
  <c r="AC492" i="6" s="1"/>
  <c r="AD492" i="6" s="1"/>
  <c r="Y47" i="6"/>
  <c r="AC47" i="6" s="1"/>
  <c r="AD47" i="6" s="1"/>
  <c r="Y348" i="6"/>
  <c r="AC348" i="6" s="1"/>
  <c r="AD348" i="6" s="1"/>
  <c r="Y80" i="6"/>
  <c r="AC80" i="6" s="1"/>
  <c r="AD80" i="6" s="1"/>
  <c r="Y274" i="6"/>
  <c r="AC274" i="6" s="1"/>
  <c r="AD274" i="6" s="1"/>
  <c r="Y226" i="6"/>
  <c r="AC226" i="6" s="1"/>
  <c r="AD226" i="6" s="1"/>
  <c r="Y184" i="6"/>
  <c r="AC184" i="6" s="1"/>
  <c r="AD184" i="6" s="1"/>
  <c r="Y534" i="6"/>
  <c r="AC534" i="6" s="1"/>
  <c r="AD534" i="6" s="1"/>
  <c r="Y378" i="6"/>
  <c r="AC378" i="6" s="1"/>
  <c r="AD378" i="6" s="1"/>
  <c r="Y171" i="6"/>
  <c r="AC171" i="6" s="1"/>
  <c r="AD171" i="6" s="1"/>
  <c r="Y44" i="6"/>
  <c r="AC44" i="6" s="1"/>
  <c r="AD44" i="6" s="1"/>
  <c r="Y483" i="6"/>
  <c r="AC483" i="6" s="1"/>
  <c r="AD483" i="6" s="1"/>
  <c r="Y341" i="6"/>
  <c r="AC341" i="6" s="1"/>
  <c r="AD341" i="6" s="1"/>
  <c r="Y350" i="6"/>
  <c r="AC350" i="6" s="1"/>
  <c r="AD350" i="6" s="1"/>
  <c r="Y172" i="6"/>
  <c r="AC172" i="6" s="1"/>
  <c r="AD172" i="6" s="1"/>
  <c r="Y552" i="6"/>
  <c r="AC552" i="6" s="1"/>
  <c r="AD552" i="6" s="1"/>
  <c r="Y351" i="6"/>
  <c r="AC351" i="6" s="1"/>
  <c r="AD351" i="6" s="1"/>
  <c r="Y536" i="6"/>
  <c r="AC536" i="6" s="1"/>
  <c r="AD536" i="6" s="1"/>
  <c r="Y275" i="6"/>
  <c r="AC275" i="6" s="1"/>
  <c r="AD275" i="6" s="1"/>
  <c r="Y197" i="6"/>
  <c r="AC197" i="6" s="1"/>
  <c r="AD197" i="6" s="1"/>
  <c r="Y272" i="6"/>
  <c r="AC272" i="6" s="1"/>
  <c r="AD272" i="6" s="1"/>
  <c r="Y234" i="6"/>
  <c r="AC234" i="6" s="1"/>
  <c r="AD234" i="6" s="1"/>
  <c r="Y522" i="6"/>
  <c r="AC522" i="6" s="1"/>
  <c r="AD522" i="6" s="1"/>
  <c r="Z542" i="4"/>
  <c r="AC542" i="4" s="1"/>
  <c r="Z211" i="4"/>
  <c r="AC211" i="4" s="1"/>
  <c r="Z31" i="4"/>
  <c r="AC31" i="4" s="1"/>
  <c r="Z307" i="4"/>
  <c r="AC307" i="4" s="1"/>
  <c r="Z16" i="4"/>
  <c r="AC16" i="4" s="1"/>
  <c r="Z316" i="4"/>
  <c r="AC316" i="4" s="1"/>
  <c r="Z467" i="4"/>
  <c r="AC467" i="4" s="1"/>
  <c r="Z508" i="4"/>
  <c r="AC508" i="4" s="1"/>
  <c r="AD508" i="4" s="1"/>
  <c r="Z173" i="4"/>
  <c r="AC173" i="4" s="1"/>
  <c r="Z195" i="4"/>
  <c r="AC195" i="4" s="1"/>
  <c r="Z105" i="4"/>
  <c r="AC105" i="4" s="1"/>
  <c r="Z525" i="4"/>
  <c r="AC525" i="4" s="1"/>
  <c r="Z42" i="4"/>
  <c r="AC42" i="4" s="1"/>
  <c r="Z70" i="4"/>
  <c r="AC70" i="4" s="1"/>
  <c r="Z56" i="4"/>
  <c r="AC56" i="4" s="1"/>
  <c r="Z111" i="4"/>
  <c r="AC111" i="4" s="1"/>
  <c r="Z125" i="4"/>
  <c r="AC125" i="4" s="1"/>
  <c r="Z181" i="4"/>
  <c r="AC181" i="4" s="1"/>
  <c r="Z153" i="4"/>
  <c r="AC153" i="4" s="1"/>
  <c r="Z240" i="4"/>
  <c r="AC240" i="4" s="1"/>
  <c r="Z327" i="4"/>
  <c r="AC327" i="4" s="1"/>
  <c r="Y420" i="6"/>
  <c r="AC420" i="6" s="1"/>
  <c r="AD420" i="6" s="1"/>
  <c r="Z498" i="4"/>
  <c r="AC498" i="4" s="1"/>
  <c r="Z45" i="5"/>
  <c r="AC45" i="5" s="1"/>
  <c r="Y373" i="6"/>
  <c r="AC373" i="6" s="1"/>
  <c r="AD373" i="6" s="1"/>
  <c r="Z379" i="4"/>
  <c r="AC379" i="4" s="1"/>
  <c r="Z10" i="4"/>
  <c r="AC10" i="4" s="1"/>
  <c r="Z96" i="4"/>
  <c r="AC96" i="4" s="1"/>
  <c r="Z392" i="4"/>
  <c r="AC392" i="4" s="1"/>
  <c r="Z548" i="4"/>
  <c r="AC548" i="4" s="1"/>
  <c r="Z42" i="5"/>
  <c r="AC42" i="5" s="1"/>
  <c r="Z19" i="5"/>
  <c r="AC19" i="5" s="1"/>
  <c r="Z53" i="5"/>
  <c r="AC53" i="5" s="1"/>
  <c r="AD53" i="5" s="1"/>
  <c r="Z158" i="4"/>
  <c r="AC158" i="4" s="1"/>
  <c r="Y498" i="6"/>
  <c r="AC498" i="6" s="1"/>
  <c r="AD498" i="6" s="1"/>
  <c r="Y94" i="6"/>
  <c r="AC94" i="6" s="1"/>
  <c r="AD94" i="6" s="1"/>
  <c r="Y478" i="6"/>
  <c r="AC478" i="6" s="1"/>
  <c r="AD478" i="6" s="1"/>
  <c r="Y441" i="6"/>
  <c r="AC441" i="6" s="1"/>
  <c r="AD441" i="6" s="1"/>
  <c r="Y485" i="6"/>
  <c r="AC485" i="6" s="1"/>
  <c r="AD485" i="6" s="1"/>
  <c r="Y321" i="6"/>
  <c r="AC321" i="6" s="1"/>
  <c r="AD321" i="6" s="1"/>
  <c r="Y352" i="6"/>
  <c r="AC352" i="6" s="1"/>
  <c r="AD352" i="6" s="1"/>
  <c r="Y241" i="6"/>
  <c r="AC241" i="6" s="1"/>
  <c r="AD241" i="6" s="1"/>
  <c r="Y248" i="6"/>
  <c r="AC248" i="6" s="1"/>
  <c r="AD248" i="6" s="1"/>
  <c r="Y151" i="6"/>
  <c r="AC151" i="6" s="1"/>
  <c r="AD151" i="6" s="1"/>
  <c r="Y249" i="6"/>
  <c r="AC249" i="6" s="1"/>
  <c r="AD249" i="6" s="1"/>
  <c r="Y165" i="6"/>
  <c r="AC165" i="6" s="1"/>
  <c r="AD165" i="6" s="1"/>
  <c r="Y188" i="6"/>
  <c r="AC188" i="6" s="1"/>
  <c r="AD188" i="6" s="1"/>
  <c r="Y399" i="6"/>
  <c r="AC399" i="6" s="1"/>
  <c r="AD399" i="6" s="1"/>
  <c r="Y451" i="6"/>
  <c r="AC451" i="6" s="1"/>
  <c r="AD451" i="6" s="1"/>
  <c r="Y222" i="6"/>
  <c r="AC222" i="6" s="1"/>
  <c r="AD222" i="6" s="1"/>
  <c r="Y7" i="6"/>
  <c r="AC7" i="6" s="1"/>
  <c r="AD7" i="6" s="1"/>
  <c r="Y20" i="6"/>
  <c r="AC20" i="6" s="1"/>
  <c r="AD20" i="6" s="1"/>
  <c r="Y181" i="6"/>
  <c r="AC181" i="6" s="1"/>
  <c r="AD181" i="6" s="1"/>
  <c r="Y247" i="6"/>
  <c r="AC247" i="6" s="1"/>
  <c r="AD247" i="6" s="1"/>
  <c r="Y195" i="6"/>
  <c r="AC195" i="6" s="1"/>
  <c r="AD195" i="6" s="1"/>
  <c r="Y415" i="6"/>
  <c r="AC415" i="6" s="1"/>
  <c r="AD415" i="6" s="1"/>
  <c r="Y421" i="6"/>
  <c r="AC421" i="6" s="1"/>
  <c r="AD421" i="6" s="1"/>
  <c r="Z526" i="4"/>
  <c r="AC526" i="4" s="1"/>
  <c r="Z493" i="4"/>
  <c r="AC493" i="4" s="1"/>
  <c r="AD493" i="4" s="1"/>
  <c r="Z228" i="4"/>
  <c r="AC228" i="4" s="1"/>
  <c r="Z95" i="4"/>
  <c r="AC95" i="4" s="1"/>
  <c r="Z8" i="4"/>
  <c r="AC8" i="4" s="1"/>
  <c r="Z121" i="4"/>
  <c r="AC121" i="4" s="1"/>
  <c r="Z88" i="4"/>
  <c r="AC88" i="4" s="1"/>
  <c r="Z26" i="4"/>
  <c r="AC26" i="4" s="1"/>
  <c r="Z555" i="4"/>
  <c r="AC555" i="4" s="1"/>
  <c r="Z156" i="4"/>
  <c r="AC156" i="4" s="1"/>
  <c r="Z178" i="4"/>
  <c r="AC178" i="4" s="1"/>
  <c r="Z164" i="4"/>
  <c r="AC164" i="4" s="1"/>
  <c r="Z217" i="4"/>
  <c r="AC217" i="4" s="1"/>
  <c r="Z151" i="4"/>
  <c r="AC151" i="4" s="1"/>
  <c r="Z71" i="4"/>
  <c r="AC71" i="4" s="1"/>
  <c r="Z470" i="4"/>
  <c r="AC470" i="4" s="1"/>
  <c r="Z223" i="4"/>
  <c r="AC223" i="4" s="1"/>
  <c r="Z252" i="4"/>
  <c r="AC252" i="4" s="1"/>
  <c r="Z300" i="4"/>
  <c r="AC300" i="4" s="1"/>
  <c r="Z137" i="4"/>
  <c r="AC137" i="4" s="1"/>
  <c r="Z251" i="4"/>
  <c r="AC251" i="4" s="1"/>
  <c r="Z506" i="4"/>
  <c r="AC506" i="4" s="1"/>
  <c r="Y432" i="6"/>
  <c r="AC432" i="6" s="1"/>
  <c r="AD432" i="6" s="1"/>
  <c r="Y68" i="6"/>
  <c r="AC68" i="6" s="1"/>
  <c r="AD68" i="6" s="1"/>
  <c r="Y394" i="6"/>
  <c r="AC394" i="6" s="1"/>
  <c r="AD394" i="6" s="1"/>
  <c r="Y246" i="6"/>
  <c r="AC246" i="6" s="1"/>
  <c r="AD246" i="6" s="1"/>
  <c r="Y93" i="6"/>
  <c r="AC93" i="6" s="1"/>
  <c r="AD93" i="6" s="1"/>
  <c r="Y466" i="6"/>
  <c r="AC466" i="6" s="1"/>
  <c r="AD466" i="6" s="1"/>
  <c r="Y101" i="6"/>
  <c r="AC101" i="6" s="1"/>
  <c r="AD101" i="6" s="1"/>
  <c r="Z191" i="4"/>
  <c r="AC191" i="4" s="1"/>
  <c r="Z309" i="4"/>
  <c r="AC309" i="4" s="1"/>
  <c r="Z319" i="4"/>
  <c r="AC319" i="4" s="1"/>
  <c r="Z536" i="4"/>
  <c r="AC536" i="4" s="1"/>
  <c r="Z155" i="4"/>
  <c r="AC155" i="4" s="1"/>
  <c r="Z143" i="4"/>
  <c r="AC143" i="4" s="1"/>
  <c r="Z461" i="4"/>
  <c r="AC461" i="4" s="1"/>
  <c r="Z231" i="4"/>
  <c r="AC231" i="4" s="1"/>
  <c r="Z239" i="4"/>
  <c r="AC239" i="4" s="1"/>
  <c r="Z266" i="4"/>
  <c r="AC266" i="4" s="1"/>
  <c r="Z271" i="4"/>
  <c r="AC271" i="4" s="1"/>
  <c r="Z70" i="5"/>
  <c r="AC70" i="5" s="1"/>
  <c r="Z72" i="5"/>
  <c r="AC72" i="5" s="1"/>
  <c r="AD72" i="5" s="1"/>
  <c r="Z71" i="5"/>
  <c r="AC71" i="5" s="1"/>
  <c r="AD71" i="5" s="1"/>
  <c r="Y524" i="6"/>
  <c r="AC524" i="6" s="1"/>
  <c r="AD524" i="6" s="1"/>
  <c r="Y269" i="6"/>
  <c r="AC269" i="6" s="1"/>
  <c r="AD269" i="6" s="1"/>
  <c r="Y323" i="6"/>
  <c r="AC323" i="6" s="1"/>
  <c r="AD323" i="6" s="1"/>
  <c r="Y77" i="6"/>
  <c r="AC77" i="6" s="1"/>
  <c r="AD77" i="6" s="1"/>
  <c r="Y526" i="6"/>
  <c r="AC526" i="6" s="1"/>
  <c r="AD526" i="6" s="1"/>
  <c r="Y282" i="6"/>
  <c r="AC282" i="6" s="1"/>
  <c r="AD282" i="6" s="1"/>
  <c r="Y468" i="6"/>
  <c r="AC468" i="6" s="1"/>
  <c r="AD468" i="6" s="1"/>
  <c r="Y17" i="6"/>
  <c r="AC17" i="6" s="1"/>
  <c r="AD17" i="6" s="1"/>
  <c r="Y285" i="6"/>
  <c r="AC285" i="6" s="1"/>
  <c r="AD285" i="6" s="1"/>
  <c r="Y186" i="6"/>
  <c r="AC186" i="6" s="1"/>
  <c r="AD186" i="6" s="1"/>
  <c r="Y100" i="6"/>
  <c r="AC100" i="6" s="1"/>
  <c r="AD100" i="6" s="1"/>
  <c r="Y206" i="6"/>
  <c r="AC206" i="6" s="1"/>
  <c r="AD206" i="6" s="1"/>
  <c r="Y330" i="6"/>
  <c r="AC330" i="6" s="1"/>
  <c r="AD330" i="6" s="1"/>
  <c r="Y125" i="6"/>
  <c r="AC125" i="6" s="1"/>
  <c r="AD125" i="6" s="1"/>
  <c r="Y359" i="6"/>
  <c r="AC359" i="6" s="1"/>
  <c r="AD359" i="6" s="1"/>
  <c r="Y424" i="6"/>
  <c r="AC424" i="6" s="1"/>
  <c r="AD424" i="6" s="1"/>
  <c r="Y327" i="6"/>
  <c r="AC327" i="6" s="1"/>
  <c r="AD327" i="6" s="1"/>
  <c r="Y454" i="6"/>
  <c r="AC454" i="6" s="1"/>
  <c r="AD454" i="6" s="1"/>
  <c r="Y377" i="6"/>
  <c r="AC377" i="6" s="1"/>
  <c r="AD377" i="6" s="1"/>
  <c r="Y126" i="6"/>
  <c r="AC126" i="6" s="1"/>
  <c r="AD126" i="6" s="1"/>
  <c r="Y291" i="6"/>
  <c r="AC291" i="6" s="1"/>
  <c r="AD291" i="6" s="1"/>
  <c r="Y418" i="6"/>
  <c r="AC418" i="6" s="1"/>
  <c r="AD418" i="6" s="1"/>
  <c r="Y48" i="6"/>
  <c r="AC48" i="6" s="1"/>
  <c r="AD48" i="6" s="1"/>
  <c r="Z280" i="4"/>
  <c r="AC280" i="4" s="1"/>
  <c r="Z301" i="4"/>
  <c r="AC301" i="4" s="1"/>
  <c r="Z294" i="4"/>
  <c r="AC294" i="4" s="1"/>
  <c r="Z278" i="4"/>
  <c r="AC278" i="4" s="1"/>
  <c r="Z20" i="4"/>
  <c r="AC20" i="4" s="1"/>
  <c r="Z130" i="4"/>
  <c r="AC130" i="4" s="1"/>
  <c r="Z168" i="4"/>
  <c r="AC168" i="4" s="1"/>
  <c r="Z80" i="4"/>
  <c r="AC80" i="4" s="1"/>
  <c r="Z245" i="4"/>
  <c r="AC245" i="4" s="1"/>
  <c r="Z455" i="4"/>
  <c r="AC455" i="4" s="1"/>
  <c r="Z538" i="4"/>
  <c r="AC538" i="4" s="1"/>
  <c r="Z89" i="4"/>
  <c r="AC89" i="4" s="1"/>
  <c r="Z423" i="4"/>
  <c r="AC423" i="4" s="1"/>
  <c r="Z85" i="4"/>
  <c r="AC85" i="4" s="1"/>
  <c r="Z453" i="4"/>
  <c r="AC453" i="4" s="1"/>
  <c r="Z545" i="4"/>
  <c r="AC545" i="4" s="1"/>
  <c r="Z51" i="4"/>
  <c r="AC51" i="4" s="1"/>
  <c r="Z63" i="4"/>
  <c r="AC63" i="4" s="1"/>
  <c r="Z317" i="4"/>
  <c r="AC317" i="4" s="1"/>
  <c r="Z295" i="4"/>
  <c r="AC295" i="4" s="1"/>
  <c r="Z52" i="4"/>
  <c r="AC52" i="4" s="1"/>
  <c r="Z431" i="4"/>
  <c r="AC431" i="4" s="1"/>
  <c r="Z372" i="4"/>
  <c r="AC372" i="4" s="1"/>
  <c r="Z9" i="4"/>
  <c r="AC9" i="4" s="1"/>
  <c r="Z370" i="4"/>
  <c r="AC370" i="4" s="1"/>
  <c r="Z286" i="4"/>
  <c r="AC286" i="4" s="1"/>
  <c r="Y383" i="6"/>
  <c r="AC383" i="6" s="1"/>
  <c r="AD383" i="6" s="1"/>
  <c r="Z220" i="4"/>
  <c r="AC220" i="4" s="1"/>
  <c r="Y459" i="6"/>
  <c r="AC459" i="6" s="1"/>
  <c r="AD459" i="6" s="1"/>
  <c r="Y228" i="6"/>
  <c r="AC228" i="6" s="1"/>
  <c r="AD228" i="6" s="1"/>
  <c r="Y202" i="6"/>
  <c r="AC202" i="6" s="1"/>
  <c r="AD202" i="6" s="1"/>
  <c r="Y434" i="6"/>
  <c r="AC434" i="6" s="1"/>
  <c r="AD434" i="6" s="1"/>
  <c r="Z229" i="4"/>
  <c r="AC229" i="4" s="1"/>
  <c r="Z163" i="4"/>
  <c r="AC163" i="4" s="1"/>
  <c r="Z434" i="4"/>
  <c r="AC434" i="4" s="1"/>
  <c r="Z283" i="4"/>
  <c r="AC283" i="4" s="1"/>
  <c r="Z273" i="4"/>
  <c r="AC273" i="4" s="1"/>
  <c r="Z312" i="4"/>
  <c r="AC312" i="4" s="1"/>
  <c r="Z420" i="4"/>
  <c r="AC420" i="4" s="1"/>
  <c r="AD420" i="4" s="1"/>
  <c r="Z415" i="4"/>
  <c r="AC415" i="4" s="1"/>
  <c r="Z179" i="4"/>
  <c r="AC179" i="4" s="1"/>
  <c r="Y87" i="6"/>
  <c r="AC87" i="6" s="1"/>
  <c r="AD87" i="6" s="1"/>
  <c r="Y535" i="6"/>
  <c r="AC535" i="6" s="1"/>
  <c r="AD535" i="6" s="1"/>
  <c r="Y39" i="6"/>
  <c r="AC39" i="6" s="1"/>
  <c r="AD39" i="6" s="1"/>
  <c r="Y196" i="6"/>
  <c r="AC196" i="6" s="1"/>
  <c r="AD196" i="6" s="1"/>
  <c r="Y106" i="6"/>
  <c r="AC106" i="6" s="1"/>
  <c r="AD106" i="6" s="1"/>
  <c r="Y355" i="6"/>
  <c r="AC355" i="6" s="1"/>
  <c r="AD355" i="6" s="1"/>
  <c r="Y367" i="6"/>
  <c r="AC367" i="6" s="1"/>
  <c r="AD367" i="6" s="1"/>
  <c r="Y124" i="6"/>
  <c r="AC124" i="6" s="1"/>
  <c r="AD124" i="6" s="1"/>
  <c r="Y512" i="6"/>
  <c r="AC512" i="6" s="1"/>
  <c r="AD512" i="6" s="1"/>
  <c r="Y304" i="6"/>
  <c r="AC304" i="6" s="1"/>
  <c r="AD304" i="6" s="1"/>
  <c r="Y527" i="6"/>
  <c r="AC527" i="6" s="1"/>
  <c r="AD527" i="6" s="1"/>
  <c r="Y12" i="6"/>
  <c r="AC12" i="6" s="1"/>
  <c r="AD12" i="6" s="1"/>
  <c r="Y301" i="6"/>
  <c r="AC301" i="6" s="1"/>
  <c r="AD301" i="6" s="1"/>
  <c r="Y85" i="6"/>
  <c r="AC85" i="6" s="1"/>
  <c r="AD85" i="6" s="1"/>
  <c r="Y139" i="6"/>
  <c r="AC139" i="6" s="1"/>
  <c r="AD139" i="6" s="1"/>
  <c r="Y137" i="6"/>
  <c r="AC137" i="6" s="1"/>
  <c r="AD137" i="6" s="1"/>
  <c r="Y284" i="6"/>
  <c r="AC284" i="6" s="1"/>
  <c r="AD284" i="6" s="1"/>
  <c r="Y497" i="6"/>
  <c r="AC497" i="6" s="1"/>
  <c r="AD497" i="6" s="1"/>
  <c r="Y257" i="6"/>
  <c r="AC257" i="6" s="1"/>
  <c r="AD257" i="6" s="1"/>
  <c r="Y328" i="6"/>
  <c r="AC328" i="6" s="1"/>
  <c r="AD328" i="6" s="1"/>
  <c r="Y393" i="6"/>
  <c r="AC393" i="6" s="1"/>
  <c r="AD393" i="6" s="1"/>
  <c r="Y514" i="6"/>
  <c r="AC514" i="6" s="1"/>
  <c r="AD514" i="6" s="1"/>
  <c r="Y310" i="6"/>
  <c r="AC310" i="6" s="1"/>
  <c r="AD310" i="6" s="1"/>
  <c r="Z279" i="4"/>
  <c r="AC279" i="4" s="1"/>
  <c r="Z36" i="4"/>
  <c r="AC36" i="4" s="1"/>
  <c r="Z147" i="4"/>
  <c r="AC147" i="4" s="1"/>
  <c r="Z232" i="4"/>
  <c r="AC232" i="4" s="1"/>
  <c r="Z456" i="4"/>
  <c r="AC456" i="4" s="1"/>
  <c r="Z184" i="4"/>
  <c r="AC184" i="4" s="1"/>
  <c r="Z499" i="4"/>
  <c r="AC499" i="4" s="1"/>
  <c r="Z343" i="4"/>
  <c r="AC343" i="4" s="1"/>
  <c r="Z176" i="4"/>
  <c r="AC176" i="4" s="1"/>
  <c r="Z519" i="4"/>
  <c r="AC519" i="4" s="1"/>
  <c r="Z212" i="4"/>
  <c r="AC212" i="4" s="1"/>
  <c r="Z552" i="4"/>
  <c r="AC552" i="4" s="1"/>
  <c r="Z528" i="4"/>
  <c r="AC528" i="4" s="1"/>
  <c r="Z119" i="4"/>
  <c r="AC119" i="4" s="1"/>
  <c r="Z308" i="4"/>
  <c r="AC308" i="4" s="1"/>
  <c r="Z166" i="4"/>
  <c r="AC166" i="4" s="1"/>
  <c r="Z320" i="4"/>
  <c r="AC320" i="4" s="1"/>
  <c r="Z109" i="4"/>
  <c r="AC109" i="4" s="1"/>
  <c r="Z297" i="4"/>
  <c r="AC297" i="4" s="1"/>
  <c r="Z249" i="4"/>
  <c r="AC249" i="4" s="1"/>
  <c r="Z54" i="5"/>
  <c r="AC54" i="5" s="1"/>
  <c r="Z345" i="4"/>
  <c r="AC345" i="4" s="1"/>
  <c r="Y38" i="6"/>
  <c r="AC38" i="6" s="1"/>
  <c r="AD38" i="6" s="1"/>
  <c r="Y169" i="6"/>
  <c r="AC169" i="6" s="1"/>
  <c r="AD169" i="6" s="1"/>
  <c r="Y36" i="6"/>
  <c r="AC36" i="6" s="1"/>
  <c r="AD36" i="6" s="1"/>
  <c r="Y289" i="6"/>
  <c r="AC289" i="6" s="1"/>
  <c r="AD289" i="6" s="1"/>
  <c r="Y279" i="6"/>
  <c r="AC279" i="6" s="1"/>
  <c r="AD279" i="6" s="1"/>
  <c r="Y78" i="6"/>
  <c r="AC78" i="6" s="1"/>
  <c r="AD78" i="6" s="1"/>
  <c r="Y34" i="6"/>
  <c r="AC34" i="6" s="1"/>
  <c r="AD34" i="6" s="1"/>
  <c r="Y396" i="6"/>
  <c r="AC396" i="6" s="1"/>
  <c r="AD396" i="6" s="1"/>
  <c r="Y343" i="6"/>
  <c r="AC343" i="6" s="1"/>
  <c r="AD343" i="6" s="1"/>
  <c r="Y159" i="6"/>
  <c r="AC159" i="6" s="1"/>
  <c r="AD159" i="6" s="1"/>
  <c r="Y357" i="6"/>
  <c r="AC357" i="6" s="1"/>
  <c r="AD357" i="6" s="1"/>
  <c r="Y215" i="6"/>
  <c r="AC215" i="6" s="1"/>
  <c r="AD215" i="6" s="1"/>
  <c r="Y494" i="6"/>
  <c r="AC494" i="6" s="1"/>
  <c r="AD494" i="6" s="1"/>
  <c r="Y180" i="6"/>
  <c r="AC180" i="6" s="1"/>
  <c r="AD180" i="6" s="1"/>
  <c r="Y264" i="6"/>
  <c r="AC264" i="6" s="1"/>
  <c r="AD264" i="6" s="1"/>
  <c r="Y253" i="6"/>
  <c r="AC253" i="6" s="1"/>
  <c r="AD253" i="6" s="1"/>
  <c r="Y265" i="6"/>
  <c r="AC265" i="6" s="1"/>
  <c r="AD265" i="6" s="1"/>
  <c r="Y116" i="6"/>
  <c r="AC116" i="6" s="1"/>
  <c r="AD116" i="6" s="1"/>
  <c r="Y340" i="6"/>
  <c r="AC340" i="6" s="1"/>
  <c r="AD340" i="6" s="1"/>
  <c r="Y250" i="6"/>
  <c r="AC250" i="6" s="1"/>
  <c r="AD250" i="6" s="1"/>
  <c r="Y455" i="6"/>
  <c r="AC455" i="6" s="1"/>
  <c r="AD455" i="6" s="1"/>
  <c r="Y473" i="6"/>
  <c r="AC473" i="6" s="1"/>
  <c r="AD473" i="6" s="1"/>
  <c r="Z30" i="5"/>
  <c r="AC30" i="5" s="1"/>
  <c r="Z204" i="4"/>
  <c r="AC204" i="4" s="1"/>
  <c r="Z478" i="4"/>
  <c r="AC478" i="4" s="1"/>
  <c r="Z522" i="4"/>
  <c r="AC522" i="4" s="1"/>
  <c r="Z67" i="4"/>
  <c r="AC67" i="4" s="1"/>
  <c r="Z304" i="4"/>
  <c r="AC304" i="4" s="1"/>
  <c r="Z47" i="4"/>
  <c r="AC47" i="4" s="1"/>
  <c r="Z365" i="4"/>
  <c r="AC365" i="4" s="1"/>
  <c r="Z122" i="4"/>
  <c r="AC122" i="4" s="1"/>
  <c r="Z513" i="4"/>
  <c r="AC513" i="4" s="1"/>
  <c r="Z224" i="4"/>
  <c r="AC224" i="4" s="1"/>
  <c r="Z48" i="4"/>
  <c r="AC48" i="4" s="1"/>
  <c r="Z366" i="4"/>
  <c r="AC366" i="4" s="1"/>
  <c r="Z221" i="4"/>
  <c r="AC221" i="4" s="1"/>
  <c r="Z238" i="4"/>
  <c r="AC238" i="4" s="1"/>
  <c r="Z41" i="5"/>
  <c r="AC41" i="5" s="1"/>
  <c r="Z26" i="5"/>
  <c r="AC26" i="5" s="1"/>
  <c r="Z48" i="5"/>
  <c r="AC48" i="5" s="1"/>
  <c r="Z68" i="5"/>
  <c r="AC68" i="5" s="1"/>
  <c r="Y178" i="6"/>
  <c r="AC178" i="6" s="1"/>
  <c r="AD178" i="6" s="1"/>
  <c r="Y167" i="6"/>
  <c r="AC167" i="6" s="1"/>
  <c r="AD167" i="6" s="1"/>
  <c r="Y91" i="6"/>
  <c r="AC91" i="6" s="1"/>
  <c r="AD91" i="6" s="1"/>
  <c r="Y240" i="6"/>
  <c r="AC240" i="6" s="1"/>
  <c r="AD240" i="6" s="1"/>
  <c r="Y26" i="6"/>
  <c r="AC26" i="6" s="1"/>
  <c r="AD26" i="6" s="1"/>
  <c r="Y379" i="6"/>
  <c r="AC379" i="6" s="1"/>
  <c r="AD379" i="6" s="1"/>
  <c r="Y182" i="6"/>
  <c r="AC182" i="6" s="1"/>
  <c r="AD182" i="6" s="1"/>
  <c r="Y369" i="6"/>
  <c r="AC369" i="6" s="1"/>
  <c r="AD369" i="6" s="1"/>
  <c r="Y338" i="6"/>
  <c r="AC338" i="6" s="1"/>
  <c r="AD338" i="6" s="1"/>
  <c r="Y96" i="6"/>
  <c r="AC96" i="6" s="1"/>
  <c r="AD96" i="6" s="1"/>
  <c r="Y449" i="6"/>
  <c r="AC449" i="6" s="1"/>
  <c r="AD449" i="6" s="1"/>
  <c r="Y223" i="6"/>
  <c r="AC223" i="6" s="1"/>
  <c r="AD223" i="6" s="1"/>
  <c r="Y211" i="6"/>
  <c r="AC211" i="6" s="1"/>
  <c r="AD211" i="6" s="1"/>
  <c r="Y417" i="6"/>
  <c r="AC417" i="6" s="1"/>
  <c r="AD417" i="6" s="1"/>
  <c r="Y413" i="6"/>
  <c r="AC413" i="6" s="1"/>
  <c r="AD413" i="6" s="1"/>
  <c r="Y46" i="6"/>
  <c r="AC46" i="6" s="1"/>
  <c r="AD46" i="6" s="1"/>
  <c r="Y333" i="6"/>
  <c r="AC333" i="6" s="1"/>
  <c r="AD333" i="6" s="1"/>
  <c r="Y390" i="6"/>
  <c r="AC390" i="6" s="1"/>
  <c r="AD390" i="6" s="1"/>
  <c r="Y69" i="6"/>
  <c r="AC69" i="6" s="1"/>
  <c r="AD69" i="6" s="1"/>
  <c r="Y37" i="6"/>
  <c r="AC37" i="6" s="1"/>
  <c r="AD37" i="6" s="1"/>
  <c r="Y311" i="6"/>
  <c r="AC311" i="6" s="1"/>
  <c r="AD311" i="6" s="1"/>
  <c r="Y117" i="6"/>
  <c r="AC117" i="6" s="1"/>
  <c r="AD117" i="6" s="1"/>
  <c r="Y436" i="6"/>
  <c r="AC436" i="6" s="1"/>
  <c r="AD436" i="6" s="1"/>
  <c r="Z67" i="5"/>
  <c r="AC67" i="5" s="1"/>
  <c r="Z400" i="4"/>
  <c r="AC400" i="4" s="1"/>
  <c r="Z227" i="4"/>
  <c r="AC227" i="4" s="1"/>
  <c r="Z34" i="4"/>
  <c r="AC34" i="4" s="1"/>
  <c r="Z24" i="4"/>
  <c r="AC24" i="4" s="1"/>
  <c r="Z436" i="4"/>
  <c r="AC436" i="4" s="1"/>
  <c r="Z210" i="4"/>
  <c r="AC210" i="4" s="1"/>
  <c r="Z394" i="4"/>
  <c r="AC394" i="4" s="1"/>
  <c r="Z465" i="4"/>
  <c r="AC465" i="4" s="1"/>
  <c r="Z282" i="4"/>
  <c r="AC282" i="4" s="1"/>
  <c r="Z377" i="4"/>
  <c r="AC377" i="4" s="1"/>
  <c r="Z37" i="4"/>
  <c r="AC37" i="4" s="1"/>
  <c r="Z512" i="4"/>
  <c r="AC512" i="4" s="1"/>
  <c r="Z537" i="4"/>
  <c r="AC537" i="4" s="1"/>
  <c r="Z28" i="4"/>
  <c r="AC28" i="4" s="1"/>
  <c r="Z215" i="4"/>
  <c r="AC215" i="4" s="1"/>
  <c r="Z14" i="4"/>
  <c r="AC14" i="4" s="1"/>
  <c r="Z452" i="4"/>
  <c r="AC452" i="4" s="1"/>
  <c r="Z241" i="4"/>
  <c r="AC241" i="4" s="1"/>
  <c r="Z74" i="5"/>
  <c r="AC74" i="5" s="1"/>
  <c r="Y153" i="6"/>
  <c r="AC153" i="6" s="1"/>
  <c r="AD153" i="6" s="1"/>
  <c r="Y187" i="6"/>
  <c r="AC187" i="6" s="1"/>
  <c r="AD187" i="6" s="1"/>
  <c r="Y457" i="6"/>
  <c r="AC457" i="6" s="1"/>
  <c r="AD457" i="6" s="1"/>
  <c r="Y404" i="6"/>
  <c r="AC404" i="6" s="1"/>
  <c r="AD404" i="6" s="1"/>
  <c r="Y111" i="6"/>
  <c r="AC111" i="6" s="1"/>
  <c r="AD111" i="6" s="1"/>
  <c r="Y27" i="6"/>
  <c r="AC27" i="6" s="1"/>
  <c r="AD27" i="6" s="1"/>
  <c r="Y133" i="6"/>
  <c r="AC133" i="6" s="1"/>
  <c r="AD133" i="6" s="1"/>
  <c r="Y22" i="6"/>
  <c r="AC22" i="6" s="1"/>
  <c r="AD22" i="6" s="1"/>
  <c r="Y216" i="6"/>
  <c r="AC216" i="6" s="1"/>
  <c r="AD216" i="6" s="1"/>
  <c r="Y203" i="6"/>
  <c r="AC203" i="6" s="1"/>
  <c r="AD203" i="6" s="1"/>
  <c r="Y118" i="6"/>
  <c r="AC118" i="6" s="1"/>
  <c r="AD118" i="6" s="1"/>
  <c r="Y154" i="6"/>
  <c r="AC154" i="6" s="1"/>
  <c r="AD154" i="6" s="1"/>
  <c r="Y458" i="6"/>
  <c r="AC458" i="6" s="1"/>
  <c r="AD458" i="6" s="1"/>
  <c r="Y407" i="6"/>
  <c r="AC407" i="6" s="1"/>
  <c r="AD407" i="6" s="1"/>
  <c r="Y539" i="6"/>
  <c r="AC539" i="6" s="1"/>
  <c r="AD539" i="6" s="1"/>
  <c r="Y365" i="6"/>
  <c r="AC365" i="6" s="1"/>
  <c r="AD365" i="6" s="1"/>
  <c r="Y143" i="6"/>
  <c r="AC143" i="6" s="1"/>
  <c r="AD143" i="6" s="1"/>
  <c r="Y336" i="6"/>
  <c r="AC336" i="6" s="1"/>
  <c r="AD336" i="6" s="1"/>
  <c r="Y482" i="6"/>
  <c r="AC482" i="6" s="1"/>
  <c r="AD482" i="6" s="1"/>
  <c r="Y456" i="6"/>
  <c r="AC456" i="6" s="1"/>
  <c r="AD456" i="6" s="1"/>
  <c r="Y76" i="6"/>
  <c r="AC76" i="6" s="1"/>
  <c r="AD76" i="6" s="1"/>
  <c r="Y414" i="6"/>
  <c r="AC414" i="6" s="1"/>
  <c r="AD414" i="6" s="1"/>
  <c r="Y391" i="6"/>
  <c r="AC391" i="6" s="1"/>
  <c r="AD391" i="6" s="1"/>
  <c r="Z139" i="4"/>
  <c r="AC139" i="4" s="1"/>
  <c r="Z83" i="4"/>
  <c r="AC83" i="4" s="1"/>
  <c r="Z222" i="4"/>
  <c r="AC222" i="4" s="1"/>
  <c r="Z485" i="4"/>
  <c r="AC485" i="4" s="1"/>
  <c r="Z167" i="4"/>
  <c r="AC167" i="4" s="1"/>
  <c r="Z432" i="4"/>
  <c r="AC432" i="4" s="1"/>
  <c r="Z495" i="4"/>
  <c r="AC495" i="4" s="1"/>
  <c r="Z514" i="4"/>
  <c r="AC514" i="4" s="1"/>
  <c r="Z339" i="4"/>
  <c r="AC339" i="4" s="1"/>
  <c r="Z491" i="4"/>
  <c r="AC491" i="4" s="1"/>
  <c r="Z473" i="4"/>
  <c r="AC473" i="4" s="1"/>
  <c r="AD473" i="4" s="1"/>
  <c r="Z201" i="4"/>
  <c r="AC201" i="4" s="1"/>
  <c r="Z303" i="4"/>
  <c r="AC303" i="4" s="1"/>
  <c r="Z72" i="4"/>
  <c r="AC72" i="4" s="1"/>
  <c r="Z234" i="4"/>
  <c r="AC234" i="4" s="1"/>
  <c r="Z539" i="4"/>
  <c r="AC539" i="4" s="1"/>
  <c r="Z253" i="4"/>
  <c r="AC253" i="4" s="1"/>
  <c r="Z531" i="4"/>
  <c r="AC531" i="4" s="1"/>
  <c r="Z554" i="4"/>
  <c r="AC554" i="4" s="1"/>
  <c r="Z21" i="4"/>
  <c r="AC21" i="4" s="1"/>
  <c r="Z9" i="5"/>
  <c r="AC9" i="5" s="1"/>
  <c r="Z31" i="5"/>
  <c r="AC31" i="5" s="1"/>
  <c r="Z57" i="5"/>
  <c r="AC57" i="5" s="1"/>
  <c r="AD57" i="5" s="1"/>
  <c r="Z387" i="4"/>
  <c r="AC387" i="4" s="1"/>
  <c r="Y31" i="6"/>
  <c r="AC31" i="6" s="1"/>
  <c r="AD31" i="6" s="1"/>
  <c r="Y220" i="6"/>
  <c r="AC220" i="6" s="1"/>
  <c r="AD220" i="6" s="1"/>
  <c r="Y550" i="6"/>
  <c r="AC550" i="6" s="1"/>
  <c r="AD550" i="6" s="1"/>
  <c r="Y368" i="6"/>
  <c r="AC368" i="6" s="1"/>
  <c r="AD368" i="6" s="1"/>
  <c r="Y102" i="6"/>
  <c r="AC102" i="6" s="1"/>
  <c r="AD102" i="6" s="1"/>
  <c r="Y332" i="6"/>
  <c r="AC332" i="6" s="1"/>
  <c r="AD332" i="6" s="1"/>
  <c r="Y82" i="6"/>
  <c r="AC82" i="6" s="1"/>
  <c r="AD82" i="6" s="1"/>
  <c r="Y382" i="6"/>
  <c r="AC382" i="6" s="1"/>
  <c r="AD382" i="6" s="1"/>
  <c r="Y281" i="6"/>
  <c r="AC281" i="6" s="1"/>
  <c r="AD281" i="6" s="1"/>
  <c r="Y305" i="6"/>
  <c r="AC305" i="6" s="1"/>
  <c r="AD305" i="6" s="1"/>
  <c r="Y271" i="6"/>
  <c r="AC271" i="6" s="1"/>
  <c r="AD271" i="6" s="1"/>
  <c r="Y245" i="6"/>
  <c r="AC245" i="6" s="1"/>
  <c r="AD245" i="6" s="1"/>
  <c r="Y554" i="6"/>
  <c r="AC554" i="6" s="1"/>
  <c r="AD554" i="6" s="1"/>
  <c r="Y114" i="6"/>
  <c r="AC114" i="6" s="1"/>
  <c r="AD114" i="6" s="1"/>
  <c r="Y470" i="6"/>
  <c r="AC470" i="6" s="1"/>
  <c r="AD470" i="6" s="1"/>
  <c r="Y41" i="6"/>
  <c r="AC41" i="6" s="1"/>
  <c r="AD41" i="6" s="1"/>
  <c r="Y168" i="6"/>
  <c r="AC168" i="6" s="1"/>
  <c r="AD168" i="6" s="1"/>
  <c r="Y218" i="6"/>
  <c r="AC218" i="6" s="1"/>
  <c r="AD218" i="6" s="1"/>
  <c r="Y545" i="6"/>
  <c r="AC545" i="6" s="1"/>
  <c r="AD545" i="6" s="1"/>
  <c r="Y318" i="6"/>
  <c r="AC318" i="6" s="1"/>
  <c r="AD318" i="6" s="1"/>
  <c r="Y162" i="6"/>
  <c r="AC162" i="6" s="1"/>
  <c r="AD162" i="6" s="1"/>
  <c r="Y79" i="6"/>
  <c r="AC79" i="6" s="1"/>
  <c r="AD79" i="6" s="1"/>
  <c r="Y40" i="6"/>
  <c r="AC40" i="6" s="1"/>
  <c r="AD40" i="6" s="1"/>
  <c r="Z35" i="5"/>
  <c r="AC35" i="5" s="1"/>
  <c r="Z128" i="4"/>
  <c r="AC128" i="4" s="1"/>
  <c r="Z226" i="4"/>
  <c r="AC226" i="4" s="1"/>
  <c r="Z336" i="4"/>
  <c r="AC336" i="4" s="1"/>
  <c r="Z120" i="4"/>
  <c r="AC120" i="4" s="1"/>
  <c r="Z187" i="4"/>
  <c r="AC187" i="4" s="1"/>
  <c r="Z344" i="4"/>
  <c r="AC344" i="4" s="1"/>
  <c r="Z489" i="4"/>
  <c r="AC489" i="4" s="1"/>
  <c r="AD489" i="4" s="1"/>
  <c r="Z515" i="4"/>
  <c r="AC515" i="4" s="1"/>
  <c r="Z386" i="4"/>
  <c r="AC386" i="4" s="1"/>
  <c r="Z544" i="4"/>
  <c r="AC544" i="4" s="1"/>
  <c r="Z108" i="4"/>
  <c r="AC108" i="4" s="1"/>
  <c r="Z33" i="4"/>
  <c r="AC33" i="4" s="1"/>
  <c r="Z546" i="4"/>
  <c r="AC546" i="4" s="1"/>
  <c r="Z483" i="4"/>
  <c r="AC483" i="4" s="1"/>
  <c r="Z73" i="4"/>
  <c r="AC73" i="4" s="1"/>
  <c r="Z66" i="4"/>
  <c r="AC66" i="4" s="1"/>
  <c r="Z68" i="4"/>
  <c r="AC68" i="4" s="1"/>
  <c r="Z97" i="4"/>
  <c r="AC97" i="4" s="1"/>
  <c r="Z302" i="4"/>
  <c r="AC302" i="4" s="1"/>
  <c r="Z328" i="4"/>
  <c r="AC328" i="4" s="1"/>
  <c r="Z102" i="4"/>
  <c r="AC102" i="4" s="1"/>
  <c r="Z490" i="4"/>
  <c r="AC490" i="4" s="1"/>
  <c r="Z50" i="5"/>
  <c r="AC50" i="5" s="1"/>
  <c r="Z44" i="5"/>
  <c r="AC44" i="5" s="1"/>
  <c r="Z541" i="4"/>
  <c r="AC541" i="4" s="1"/>
  <c r="Y62" i="6"/>
  <c r="AC62" i="6" s="1"/>
  <c r="AD62" i="6" s="1"/>
  <c r="Y33" i="6"/>
  <c r="AC33" i="6" s="1"/>
  <c r="AD33" i="6" s="1"/>
  <c r="Y392" i="6"/>
  <c r="AC392" i="6" s="1"/>
  <c r="AD392" i="6" s="1"/>
  <c r="Y360" i="6"/>
  <c r="AC360" i="6" s="1"/>
  <c r="AD360" i="6" s="1"/>
  <c r="Y326" i="6"/>
  <c r="AC326" i="6" s="1"/>
  <c r="AD326" i="6" s="1"/>
  <c r="Y543" i="6"/>
  <c r="AC543" i="6" s="1"/>
  <c r="AD543" i="6" s="1"/>
  <c r="Y127" i="6"/>
  <c r="AC127" i="6" s="1"/>
  <c r="AD127" i="6" s="1"/>
  <c r="Y409" i="6"/>
  <c r="AC409" i="6" s="1"/>
  <c r="AD409" i="6" s="1"/>
  <c r="Y258" i="6"/>
  <c r="AC258" i="6" s="1"/>
  <c r="AD258" i="6" s="1"/>
  <c r="Y190" i="6"/>
  <c r="AC190" i="6" s="1"/>
  <c r="AD190" i="6" s="1"/>
  <c r="Y484" i="6"/>
  <c r="AC484" i="6" s="1"/>
  <c r="AD484" i="6" s="1"/>
  <c r="Y122" i="6"/>
  <c r="AC122" i="6" s="1"/>
  <c r="AD122" i="6" s="1"/>
  <c r="Y144" i="6"/>
  <c r="AC144" i="6" s="1"/>
  <c r="AD144" i="6" s="1"/>
  <c r="Y408" i="6"/>
  <c r="AC408" i="6" s="1"/>
  <c r="AD408" i="6" s="1"/>
  <c r="Y372" i="6"/>
  <c r="AC372" i="6" s="1"/>
  <c r="AD372" i="6" s="1"/>
  <c r="Y28" i="6"/>
  <c r="AC28" i="6" s="1"/>
  <c r="AD28" i="6" s="1"/>
  <c r="Y207" i="6"/>
  <c r="AC207" i="6" s="1"/>
  <c r="AD207" i="6" s="1"/>
  <c r="Y70" i="6"/>
  <c r="AC70" i="6" s="1"/>
  <c r="AD70" i="6" s="1"/>
  <c r="Y298" i="6"/>
  <c r="AC298" i="6" s="1"/>
  <c r="AD298" i="6" s="1"/>
  <c r="Y92" i="6"/>
  <c r="AC92" i="6" s="1"/>
  <c r="AD92" i="6" s="1"/>
  <c r="Y189" i="6"/>
  <c r="AC189" i="6" s="1"/>
  <c r="AD189" i="6" s="1"/>
  <c r="Y370" i="6"/>
  <c r="AC370" i="6" s="1"/>
  <c r="AD370" i="6" s="1"/>
  <c r="Y320" i="6"/>
  <c r="AC320" i="6" s="1"/>
  <c r="AD320" i="6" s="1"/>
  <c r="Z16" i="5"/>
  <c r="AC16" i="5" s="1"/>
  <c r="Z342" i="4"/>
  <c r="AC342" i="4" s="1"/>
  <c r="Z288" i="4"/>
  <c r="AC288" i="4" s="1"/>
  <c r="Z291" i="4"/>
  <c r="AC291" i="4" s="1"/>
  <c r="Z296" i="4"/>
  <c r="AC296" i="4" s="1"/>
  <c r="Z254" i="4"/>
  <c r="AC254" i="4" s="1"/>
  <c r="Z237" i="4"/>
  <c r="AC237" i="4" s="1"/>
  <c r="Z474" i="4"/>
  <c r="AC474" i="4" s="1"/>
  <c r="Z289" i="4"/>
  <c r="AC289" i="4" s="1"/>
  <c r="Z256" i="4"/>
  <c r="AC256" i="4" s="1"/>
  <c r="Z115" i="4"/>
  <c r="AC115" i="4" s="1"/>
  <c r="Z74" i="4"/>
  <c r="AC74" i="4" s="1"/>
  <c r="Z25" i="4"/>
  <c r="AC25" i="4" s="1"/>
  <c r="Z440" i="4"/>
  <c r="AC440" i="4" s="1"/>
  <c r="Z331" i="4"/>
  <c r="AC331" i="4" s="1"/>
  <c r="Z442" i="4"/>
  <c r="AC442" i="4" s="1"/>
  <c r="Z445" i="4"/>
  <c r="AC445" i="4" s="1"/>
  <c r="Z533" i="4"/>
  <c r="AC533" i="4" s="1"/>
  <c r="Z382" i="4"/>
  <c r="AC382" i="4" s="1"/>
  <c r="Z40" i="4"/>
  <c r="AC40" i="4" s="1"/>
  <c r="Z133" i="4"/>
  <c r="AC133" i="4" s="1"/>
  <c r="Z126" i="4"/>
  <c r="AC126" i="4" s="1"/>
  <c r="Z131" i="4"/>
  <c r="AC131" i="4" s="1"/>
  <c r="Z32" i="5"/>
  <c r="AC32" i="5" s="1"/>
  <c r="Z47" i="5"/>
  <c r="AC47" i="5" s="1"/>
  <c r="Z60" i="5"/>
  <c r="AC60" i="5" s="1"/>
  <c r="AD60" i="5" s="1"/>
  <c r="Y553" i="6"/>
  <c r="AC553" i="6" s="1"/>
  <c r="AD553" i="6" s="1"/>
  <c r="Y398" i="6"/>
  <c r="AC398" i="6" s="1"/>
  <c r="AD398" i="6" s="1"/>
  <c r="Y509" i="6"/>
  <c r="AC509" i="6" s="1"/>
  <c r="AD509" i="6" s="1"/>
  <c r="Y280" i="6"/>
  <c r="AC280" i="6" s="1"/>
  <c r="AD280" i="6" s="1"/>
  <c r="Y112" i="6"/>
  <c r="AC112" i="6" s="1"/>
  <c r="AD112" i="6" s="1"/>
  <c r="Y217" i="6"/>
  <c r="AC217" i="6" s="1"/>
  <c r="AD217" i="6" s="1"/>
  <c r="Y467" i="6"/>
  <c r="AC467" i="6" s="1"/>
  <c r="AD467" i="6" s="1"/>
  <c r="Y113" i="6"/>
  <c r="AC113" i="6" s="1"/>
  <c r="AD113" i="6" s="1"/>
  <c r="Y95" i="6"/>
  <c r="AC95" i="6" s="1"/>
  <c r="AD95" i="6" s="1"/>
  <c r="Y256" i="6"/>
  <c r="AC256" i="6" s="1"/>
  <c r="AD256" i="6" s="1"/>
  <c r="Y161" i="6"/>
  <c r="AC161" i="6" s="1"/>
  <c r="AD161" i="6" s="1"/>
  <c r="Y406" i="6"/>
  <c r="AC406" i="6" s="1"/>
  <c r="AD406" i="6" s="1"/>
  <c r="Y55" i="6"/>
  <c r="AC55" i="6" s="1"/>
  <c r="AD55" i="6" s="1"/>
  <c r="Y173" i="6"/>
  <c r="AC173" i="6" s="1"/>
  <c r="AD173" i="6" s="1"/>
  <c r="Y510" i="6"/>
  <c r="AC510" i="6" s="1"/>
  <c r="AD510" i="6" s="1"/>
  <c r="Y479" i="6"/>
  <c r="AC479" i="6" s="1"/>
  <c r="AD479" i="6" s="1"/>
  <c r="Y261" i="6"/>
  <c r="AC261" i="6" s="1"/>
  <c r="AD261" i="6" s="1"/>
  <c r="Y129" i="6"/>
  <c r="AC129" i="6" s="1"/>
  <c r="AD129" i="6" s="1"/>
  <c r="Y131" i="6"/>
  <c r="AC131" i="6" s="1"/>
  <c r="AD131" i="6" s="1"/>
  <c r="Y471" i="6"/>
  <c r="AC471" i="6" s="1"/>
  <c r="AD471" i="6" s="1"/>
  <c r="Y156" i="6"/>
  <c r="AC156" i="6" s="1"/>
  <c r="AD156" i="6" s="1"/>
  <c r="Y23" i="6"/>
  <c r="AC23" i="6" s="1"/>
  <c r="AD23" i="6" s="1"/>
  <c r="Z124" i="4"/>
  <c r="AC124" i="4" s="1"/>
  <c r="Z500" i="4"/>
  <c r="AC500" i="4" s="1"/>
  <c r="Z213" i="4"/>
  <c r="AC213" i="4" s="1"/>
  <c r="Z116" i="4"/>
  <c r="AC116" i="4" s="1"/>
  <c r="Z426" i="4"/>
  <c r="AC426" i="4" s="1"/>
  <c r="Z142" i="4"/>
  <c r="AC142" i="4" s="1"/>
  <c r="Z214" i="4"/>
  <c r="AC214" i="4" s="1"/>
  <c r="Z351" i="4"/>
  <c r="AC351" i="4" s="1"/>
  <c r="Z23" i="4"/>
  <c r="AC23" i="4" s="1"/>
  <c r="Z520" i="4"/>
  <c r="AC520" i="4" s="1"/>
  <c r="Z543" i="4"/>
  <c r="AC543" i="4" s="1"/>
  <c r="Z152" i="4"/>
  <c r="AC152" i="4" s="1"/>
  <c r="Z547" i="4"/>
  <c r="AC547" i="4" s="1"/>
  <c r="Z170" i="4"/>
  <c r="AC170" i="4" s="1"/>
  <c r="Z437" i="4"/>
  <c r="AC437" i="4" s="1"/>
  <c r="Z199" i="4"/>
  <c r="AC199" i="4" s="1"/>
  <c r="Z523" i="4"/>
  <c r="AC523" i="4" s="1"/>
  <c r="Z486" i="4"/>
  <c r="AC486" i="4" s="1"/>
  <c r="Z395" i="4"/>
  <c r="AC395" i="4" s="1"/>
  <c r="Z449" i="4"/>
  <c r="AC449" i="4" s="1"/>
  <c r="Z479" i="4"/>
  <c r="AC479" i="4" s="1"/>
  <c r="Z7" i="5"/>
  <c r="AC7" i="5" s="1"/>
  <c r="Z398" i="4"/>
  <c r="AC398" i="4" s="1"/>
  <c r="Y199" i="6"/>
  <c r="AC199" i="6" s="1"/>
  <c r="AD199" i="6" s="1"/>
  <c r="Y443" i="6"/>
  <c r="AC443" i="6" s="1"/>
  <c r="AD443" i="6" s="1"/>
  <c r="Y555" i="6"/>
  <c r="AC555" i="6" s="1"/>
  <c r="AD555" i="6" s="1"/>
  <c r="Y431" i="6"/>
  <c r="AC431" i="6" s="1"/>
  <c r="AD431" i="6" s="1"/>
  <c r="Y386" i="6"/>
  <c r="AC386" i="6" s="1"/>
  <c r="AD386" i="6" s="1"/>
  <c r="Y11" i="6"/>
  <c r="Y115" i="6"/>
  <c r="AC115" i="6" s="1"/>
  <c r="AD115" i="6" s="1"/>
  <c r="Y287" i="6"/>
  <c r="AC287" i="6" s="1"/>
  <c r="AD287" i="6" s="1"/>
  <c r="Y149" i="6"/>
  <c r="AC149" i="6" s="1"/>
  <c r="AD149" i="6" s="1"/>
  <c r="Y496" i="6"/>
  <c r="AC496" i="6" s="1"/>
  <c r="AD496" i="6" s="1"/>
  <c r="Y444" i="6"/>
  <c r="AC444" i="6" s="1"/>
  <c r="AD444" i="6" s="1"/>
  <c r="Y160" i="6"/>
  <c r="AC160" i="6" s="1"/>
  <c r="AD160" i="6" s="1"/>
  <c r="Y411" i="6"/>
  <c r="AC411" i="6" s="1"/>
  <c r="AD411" i="6" s="1"/>
  <c r="Y24" i="6"/>
  <c r="AC24" i="6" s="1"/>
  <c r="AD24" i="6" s="1"/>
  <c r="Y551" i="6"/>
  <c r="AC551" i="6" s="1"/>
  <c r="AD551" i="6" s="1"/>
  <c r="Y556" i="6"/>
  <c r="AC556" i="6" s="1"/>
  <c r="AD556" i="6" s="1"/>
  <c r="Y422" i="6"/>
  <c r="AC422" i="6" s="1"/>
  <c r="AD422" i="6" s="1"/>
  <c r="Y251" i="6"/>
  <c r="AC251" i="6" s="1"/>
  <c r="AD251" i="6" s="1"/>
  <c r="Y381" i="6"/>
  <c r="AC381" i="6" s="1"/>
  <c r="AD381" i="6" s="1"/>
  <c r="Y385" i="6"/>
  <c r="AC385" i="6" s="1"/>
  <c r="AD385" i="6" s="1"/>
  <c r="Y152" i="6"/>
  <c r="AC152" i="6" s="1"/>
  <c r="AD152" i="6" s="1"/>
  <c r="Y337" i="6"/>
  <c r="AC337" i="6" s="1"/>
  <c r="AD337" i="6" s="1"/>
  <c r="Y128" i="6"/>
  <c r="AC128" i="6" s="1"/>
  <c r="AD128" i="6" s="1"/>
  <c r="Z448" i="4"/>
  <c r="AC448" i="4" s="1"/>
  <c r="Z84" i="4"/>
  <c r="AC84" i="4" s="1"/>
  <c r="Z233" i="4"/>
  <c r="AC233" i="4" s="1"/>
  <c r="Z285" i="4"/>
  <c r="AC285" i="4" s="1"/>
  <c r="Z275" i="4"/>
  <c r="AC275" i="4" s="1"/>
  <c r="Z277" i="4"/>
  <c r="AC277" i="4" s="1"/>
  <c r="Z347" i="4"/>
  <c r="AC347" i="4" s="1"/>
  <c r="Z376" i="4"/>
  <c r="AC376" i="4" s="1"/>
  <c r="Z429" i="4"/>
  <c r="AC429" i="4" s="1"/>
  <c r="Z451" i="4"/>
  <c r="AC451" i="4" s="1"/>
  <c r="Z54" i="4"/>
  <c r="AC54" i="4" s="1"/>
  <c r="Z540" i="4"/>
  <c r="AC540" i="4" s="1"/>
  <c r="Z413" i="4"/>
  <c r="AC413" i="4" s="1"/>
  <c r="Z98" i="4"/>
  <c r="AC98" i="4" s="1"/>
  <c r="Z390" i="4"/>
  <c r="AC390" i="4" s="1"/>
  <c r="Z230" i="4"/>
  <c r="AC230" i="4" s="1"/>
  <c r="Z146" i="4"/>
  <c r="AC146" i="4" s="1"/>
  <c r="Z502" i="4"/>
  <c r="AC502" i="4" s="1"/>
  <c r="Z90" i="4"/>
  <c r="AC90" i="4" s="1"/>
  <c r="Z159" i="4"/>
  <c r="AC159" i="4" s="1"/>
  <c r="Z480" i="4"/>
  <c r="AC480" i="4" s="1"/>
  <c r="Z110" i="4"/>
  <c r="AC110" i="4" s="1"/>
  <c r="Z318" i="4"/>
  <c r="AC318" i="4" s="1"/>
  <c r="Z305" i="4"/>
  <c r="AC305" i="4" s="1"/>
  <c r="Y531" i="6"/>
  <c r="AC531" i="6" s="1"/>
  <c r="AD531" i="6" s="1"/>
  <c r="Y425" i="6"/>
  <c r="AC425" i="6" s="1"/>
  <c r="AD425" i="6" s="1"/>
  <c r="Y235" i="6"/>
  <c r="AC235" i="6" s="1"/>
  <c r="AD235" i="6" s="1"/>
  <c r="Y476" i="6"/>
  <c r="AC476" i="6" s="1"/>
  <c r="AD476" i="6" s="1"/>
  <c r="Y293" i="6"/>
  <c r="AC293" i="6" s="1"/>
  <c r="AD293" i="6" s="1"/>
  <c r="Y260" i="6"/>
  <c r="AC260" i="6" s="1"/>
  <c r="AD260" i="6" s="1"/>
  <c r="Y519" i="6"/>
  <c r="AC519" i="6" s="1"/>
  <c r="AD519" i="6" s="1"/>
  <c r="Y136" i="6"/>
  <c r="AC136" i="6" s="1"/>
  <c r="AD136" i="6" s="1"/>
  <c r="Y192" i="6"/>
  <c r="AC192" i="6" s="1"/>
  <c r="AD192" i="6" s="1"/>
  <c r="Y67" i="6"/>
  <c r="AC67" i="6" s="1"/>
  <c r="AD67" i="6" s="1"/>
  <c r="Y267" i="6"/>
  <c r="AC267" i="6" s="1"/>
  <c r="AD267" i="6" s="1"/>
  <c r="Y83" i="6"/>
  <c r="AC83" i="6" s="1"/>
  <c r="AD83" i="6" s="1"/>
  <c r="Y490" i="6"/>
  <c r="AC490" i="6" s="1"/>
  <c r="AD490" i="6" s="1"/>
  <c r="Y21" i="6"/>
  <c r="AC21" i="6" s="1"/>
  <c r="AD21" i="6" s="1"/>
  <c r="Y56" i="6"/>
  <c r="AC56" i="6" s="1"/>
  <c r="AD56" i="6" s="1"/>
  <c r="Y364" i="6"/>
  <c r="AC364" i="6" s="1"/>
  <c r="AD364" i="6" s="1"/>
  <c r="Y429" i="6"/>
  <c r="AC429" i="6" s="1"/>
  <c r="AD429" i="6" s="1"/>
  <c r="Y505" i="6"/>
  <c r="AC505" i="6" s="1"/>
  <c r="AD505" i="6" s="1"/>
  <c r="Y495" i="6"/>
  <c r="AC495" i="6" s="1"/>
  <c r="AD495" i="6" s="1"/>
  <c r="Y317" i="6"/>
  <c r="AC317" i="6" s="1"/>
  <c r="AD317" i="6" s="1"/>
  <c r="Y388" i="6"/>
  <c r="AC388" i="6" s="1"/>
  <c r="AD388" i="6" s="1"/>
  <c r="Y300" i="6"/>
  <c r="AC300" i="6" s="1"/>
  <c r="AD300" i="6" s="1"/>
  <c r="Y58" i="6"/>
  <c r="AC58" i="6" s="1"/>
  <c r="AD58" i="6" s="1"/>
  <c r="Z408" i="4"/>
  <c r="AC408" i="4" s="1"/>
  <c r="Z425" i="4"/>
  <c r="AC425" i="4" s="1"/>
  <c r="Z235" i="4"/>
  <c r="AC235" i="4" s="1"/>
  <c r="Z100" i="4"/>
  <c r="AC100" i="4" s="1"/>
  <c r="Z517" i="4"/>
  <c r="AC517" i="4" s="1"/>
  <c r="Z435" i="4"/>
  <c r="AC435" i="4" s="1"/>
  <c r="Z507" i="4"/>
  <c r="AC507" i="4" s="1"/>
  <c r="Z356" i="4"/>
  <c r="AC356" i="4" s="1"/>
  <c r="Z314" i="4"/>
  <c r="AC314" i="4" s="1"/>
  <c r="Z334" i="4"/>
  <c r="AC334" i="4" s="1"/>
  <c r="Z264" i="4"/>
  <c r="AC264" i="4" s="1"/>
  <c r="Z337" i="4"/>
  <c r="AC337" i="4" s="1"/>
  <c r="Z332" i="4"/>
  <c r="AC332" i="4" s="1"/>
  <c r="Z444" i="4"/>
  <c r="AC444" i="4" s="1"/>
  <c r="Z206" i="4"/>
  <c r="AC206" i="4" s="1"/>
  <c r="Z129" i="4"/>
  <c r="AC129" i="4" s="1"/>
  <c r="Z39" i="4"/>
  <c r="AC39" i="4" s="1"/>
  <c r="Z94" i="4"/>
  <c r="AC94" i="4" s="1"/>
  <c r="Z505" i="4"/>
  <c r="AC505" i="4" s="1"/>
  <c r="AD505" i="4" s="1"/>
  <c r="Z261" i="4"/>
  <c r="AC261" i="4" s="1"/>
  <c r="Z59" i="4"/>
  <c r="AC59" i="4" s="1"/>
  <c r="Z391" i="4"/>
  <c r="AC391" i="4" s="1"/>
  <c r="Z270" i="4"/>
  <c r="AC270" i="4" s="1"/>
  <c r="Z375" i="4"/>
  <c r="AC375" i="4" s="1"/>
  <c r="Y155" i="6"/>
  <c r="AC155" i="6" s="1"/>
  <c r="AD155" i="6" s="1"/>
  <c r="Z34" i="5"/>
  <c r="AC34" i="5" s="1"/>
  <c r="Z55" i="5"/>
  <c r="AC55" i="5" s="1"/>
  <c r="Z482" i="4"/>
  <c r="AC482" i="4" s="1"/>
  <c r="Z422" i="4"/>
  <c r="AC422" i="4" s="1"/>
  <c r="Y475" i="6"/>
  <c r="AC475" i="6" s="1"/>
  <c r="AD475" i="6" s="1"/>
  <c r="Y73" i="6"/>
  <c r="AC73" i="6" s="1"/>
  <c r="AD73" i="6" s="1"/>
  <c r="Y517" i="6"/>
  <c r="AC517" i="6" s="1"/>
  <c r="AD517" i="6" s="1"/>
  <c r="Y15" i="6"/>
  <c r="AC15" i="6" s="1"/>
  <c r="AD15" i="6" s="1"/>
  <c r="Y9" i="6"/>
  <c r="AC9" i="6" s="1"/>
  <c r="AD9" i="6" s="1"/>
  <c r="Y230" i="6"/>
  <c r="AC230" i="6" s="1"/>
  <c r="AD230" i="6" s="1"/>
  <c r="Y98" i="6"/>
  <c r="AC98" i="6" s="1"/>
  <c r="AD98" i="6" s="1"/>
  <c r="Y548" i="6"/>
  <c r="AC548" i="6" s="1"/>
  <c r="AD548" i="6" s="1"/>
  <c r="Y380" i="6"/>
  <c r="AC380" i="6" s="1"/>
  <c r="AD380" i="6" s="1"/>
  <c r="Y532" i="6"/>
  <c r="AC532" i="6" s="1"/>
  <c r="AD532" i="6" s="1"/>
  <c r="Y437" i="6"/>
  <c r="AC437" i="6" s="1"/>
  <c r="AD437" i="6" s="1"/>
  <c r="Y174" i="6"/>
  <c r="AC174" i="6" s="1"/>
  <c r="AD174" i="6" s="1"/>
  <c r="Y213" i="6"/>
  <c r="AC213" i="6" s="1"/>
  <c r="AD213" i="6" s="1"/>
  <c r="Y460" i="6"/>
  <c r="AC460" i="6" s="1"/>
  <c r="AD460" i="6" s="1"/>
  <c r="Y472" i="6"/>
  <c r="AC472" i="6" s="1"/>
  <c r="AD472" i="6" s="1"/>
  <c r="Y43" i="6"/>
  <c r="AC43" i="6" s="1"/>
  <c r="AD43" i="6" s="1"/>
  <c r="Y402" i="6"/>
  <c r="AC402" i="6" s="1"/>
  <c r="AD402" i="6" s="1"/>
  <c r="Y237" i="6"/>
  <c r="AC237" i="6" s="1"/>
  <c r="AD237" i="6" s="1"/>
  <c r="Y319" i="6"/>
  <c r="AC319" i="6" s="1"/>
  <c r="AD319" i="6" s="1"/>
  <c r="Y491" i="6"/>
  <c r="AC491" i="6" s="1"/>
  <c r="AD491" i="6" s="1"/>
  <c r="Y557" i="6"/>
  <c r="AC557" i="6" s="1"/>
  <c r="AD557" i="6" s="1"/>
  <c r="Y384" i="6"/>
  <c r="AC384" i="6" s="1"/>
  <c r="AD384" i="6" s="1"/>
  <c r="Y254" i="6"/>
  <c r="AC254" i="6" s="1"/>
  <c r="AD254" i="6" s="1"/>
  <c r="Z75" i="4"/>
  <c r="AC75" i="4" s="1"/>
  <c r="Z127" i="4"/>
  <c r="AC127" i="4" s="1"/>
  <c r="Z348" i="4"/>
  <c r="AC348" i="4" s="1"/>
  <c r="Z333" i="4"/>
  <c r="AC333" i="4" s="1"/>
  <c r="Z140" i="4"/>
  <c r="AC140" i="4" s="1"/>
  <c r="Z466" i="4"/>
  <c r="AC466" i="4" s="1"/>
  <c r="Z389" i="4"/>
  <c r="AC389" i="4" s="1"/>
  <c r="Z472" i="4"/>
  <c r="AC472" i="4" s="1"/>
  <c r="Z516" i="4"/>
  <c r="AC516" i="4" s="1"/>
  <c r="Z45" i="4"/>
  <c r="AC45" i="4" s="1"/>
  <c r="Z107" i="4"/>
  <c r="AC107" i="4" s="1"/>
  <c r="Z463" i="4"/>
  <c r="AC463" i="4" s="1"/>
  <c r="Z454" i="4"/>
  <c r="AC454" i="4" s="1"/>
  <c r="Z553" i="4"/>
  <c r="AC553" i="4" s="1"/>
  <c r="Z397" i="4"/>
  <c r="AC397" i="4" s="1"/>
  <c r="Z257" i="4"/>
  <c r="AC257" i="4" s="1"/>
  <c r="Z244" i="4"/>
  <c r="AC244" i="4" s="1"/>
  <c r="Z549" i="4"/>
  <c r="AC549" i="4" s="1"/>
  <c r="Z550" i="4"/>
  <c r="AC550" i="4" s="1"/>
  <c r="Z439" i="4"/>
  <c r="AC439" i="4" s="1"/>
  <c r="Z385" i="4"/>
  <c r="AC385" i="4" s="1"/>
  <c r="Z8" i="5"/>
  <c r="AC8" i="5" s="1"/>
  <c r="Z406" i="4"/>
  <c r="AC406" i="4" s="1"/>
  <c r="Z13" i="4"/>
  <c r="AC13" i="4" s="1"/>
  <c r="Z12" i="4"/>
  <c r="AC12" i="4" s="1"/>
  <c r="Z46" i="5"/>
  <c r="AC46" i="5" s="1"/>
  <c r="Z532" i="4"/>
  <c r="AC532" i="4" s="1"/>
  <c r="AD532" i="4" s="1"/>
  <c r="Y35" i="6"/>
  <c r="AC35" i="6" s="1"/>
  <c r="AD35" i="6" s="1"/>
  <c r="Y166" i="6"/>
  <c r="AC166" i="6" s="1"/>
  <c r="AD166" i="6" s="1"/>
  <c r="Y362" i="6"/>
  <c r="AC362" i="6" s="1"/>
  <c r="AD362" i="6" s="1"/>
  <c r="Y29" i="6"/>
  <c r="AC29" i="6" s="1"/>
  <c r="AD29" i="6" s="1"/>
  <c r="Y283" i="6"/>
  <c r="AC283" i="6" s="1"/>
  <c r="AD283" i="6" s="1"/>
  <c r="Y150" i="6"/>
  <c r="AC150" i="6" s="1"/>
  <c r="AD150" i="6" s="1"/>
  <c r="Y134" i="6"/>
  <c r="AC134" i="6" s="1"/>
  <c r="AD134" i="6" s="1"/>
  <c r="Y511" i="6"/>
  <c r="AC511" i="6" s="1"/>
  <c r="AD511" i="6" s="1"/>
  <c r="Y130" i="6"/>
  <c r="AC130" i="6" s="1"/>
  <c r="AD130" i="6" s="1"/>
  <c r="Y201" i="6"/>
  <c r="AC201" i="6" s="1"/>
  <c r="AD201" i="6" s="1"/>
  <c r="Y387" i="6"/>
  <c r="AC387" i="6" s="1"/>
  <c r="AD387" i="6" s="1"/>
  <c r="Y147" i="6"/>
  <c r="AC147" i="6" s="1"/>
  <c r="AD147" i="6" s="1"/>
  <c r="Y185" i="6"/>
  <c r="AC185" i="6" s="1"/>
  <c r="AD185" i="6" s="1"/>
  <c r="Y59" i="6"/>
  <c r="AC59" i="6" s="1"/>
  <c r="AD59" i="6" s="1"/>
  <c r="Y474" i="6"/>
  <c r="AC474" i="6" s="1"/>
  <c r="AD474" i="6" s="1"/>
  <c r="Y276" i="6"/>
  <c r="AC276" i="6" s="1"/>
  <c r="AD276" i="6" s="1"/>
  <c r="Y439" i="6"/>
  <c r="AC439" i="6" s="1"/>
  <c r="AD439" i="6" s="1"/>
  <c r="Y208" i="6"/>
  <c r="AC208" i="6" s="1"/>
  <c r="AD208" i="6" s="1"/>
  <c r="Y374" i="6"/>
  <c r="AC374" i="6" s="1"/>
  <c r="AD374" i="6" s="1"/>
  <c r="Y140" i="6"/>
  <c r="AC140" i="6" s="1"/>
  <c r="AD140" i="6" s="1"/>
  <c r="Y346" i="6"/>
  <c r="AC346" i="6" s="1"/>
  <c r="AD346" i="6" s="1"/>
  <c r="Y204" i="6"/>
  <c r="AC204" i="6" s="1"/>
  <c r="AD204" i="6" s="1"/>
  <c r="Y371" i="6"/>
  <c r="AC371" i="6" s="1"/>
  <c r="AD371" i="6" s="1"/>
  <c r="Z136" i="4"/>
  <c r="AC136" i="4" s="1"/>
  <c r="Z496" i="4"/>
  <c r="AC496" i="4" s="1"/>
  <c r="Z209" i="4"/>
  <c r="AC209" i="4" s="1"/>
  <c r="Z349" i="4"/>
  <c r="AC349" i="4" s="1"/>
  <c r="Z190" i="4"/>
  <c r="AC190" i="4" s="1"/>
  <c r="Z393" i="4"/>
  <c r="AC393" i="4" s="1"/>
  <c r="Z11" i="4"/>
  <c r="AC11" i="4" s="1"/>
  <c r="Z64" i="4"/>
  <c r="AC64" i="4" s="1"/>
  <c r="Z459" i="4"/>
  <c r="AC459" i="4" s="1"/>
  <c r="Z411" i="4"/>
  <c r="AC411" i="4" s="1"/>
  <c r="Z298" i="4"/>
  <c r="AC298" i="4" s="1"/>
  <c r="Z258" i="4"/>
  <c r="AC258" i="4" s="1"/>
  <c r="Z149" i="4"/>
  <c r="AC149" i="4" s="1"/>
  <c r="Z329" i="4"/>
  <c r="AC329" i="4" s="1"/>
  <c r="Z185" i="4"/>
  <c r="AC185" i="4" s="1"/>
  <c r="Z29" i="5"/>
  <c r="AC29" i="5" s="1"/>
  <c r="Z39" i="5"/>
  <c r="AC39" i="5" s="1"/>
  <c r="Y121" i="6"/>
  <c r="AC121" i="6" s="1"/>
  <c r="AD121" i="6" s="1"/>
  <c r="Y446" i="6"/>
  <c r="AC446" i="6" s="1"/>
  <c r="AD446" i="6" s="1"/>
  <c r="Y376" i="6"/>
  <c r="AC376" i="6" s="1"/>
  <c r="AD376" i="6" s="1"/>
  <c r="Y397" i="6"/>
  <c r="AC397" i="6" s="1"/>
  <c r="AD397" i="6" s="1"/>
  <c r="Y75" i="6"/>
  <c r="AC75" i="6" s="1"/>
  <c r="AD75" i="6" s="1"/>
  <c r="Y238" i="6"/>
  <c r="AC238" i="6" s="1"/>
  <c r="AD238" i="6" s="1"/>
  <c r="Y463" i="6"/>
  <c r="AC463" i="6" s="1"/>
  <c r="AD463" i="6" s="1"/>
  <c r="Y529" i="6"/>
  <c r="AC529" i="6" s="1"/>
  <c r="AD529" i="6" s="1"/>
  <c r="Y339" i="6"/>
  <c r="AC339" i="6" s="1"/>
  <c r="AD339" i="6" s="1"/>
  <c r="Y158" i="6"/>
  <c r="AC158" i="6" s="1"/>
  <c r="AD158" i="6" s="1"/>
  <c r="Y294" i="6"/>
  <c r="AC294" i="6" s="1"/>
  <c r="AD294" i="6" s="1"/>
  <c r="Y313" i="6"/>
  <c r="AC313" i="6" s="1"/>
  <c r="AD313" i="6" s="1"/>
  <c r="Y508" i="6"/>
  <c r="AC508" i="6" s="1"/>
  <c r="AD508" i="6" s="1"/>
  <c r="Y61" i="6"/>
  <c r="AC61" i="6" s="1"/>
  <c r="AD61" i="6" s="1"/>
  <c r="Y438" i="6"/>
  <c r="AC438" i="6" s="1"/>
  <c r="AD438" i="6" s="1"/>
  <c r="Y528" i="6"/>
  <c r="AC528" i="6" s="1"/>
  <c r="AD528" i="6" s="1"/>
  <c r="Y242" i="6"/>
  <c r="AC242" i="6" s="1"/>
  <c r="AD242" i="6" s="1"/>
  <c r="Y435" i="6"/>
  <c r="AC435" i="6" s="1"/>
  <c r="AD435" i="6" s="1"/>
  <c r="Y57" i="6"/>
  <c r="AC57" i="6" s="1"/>
  <c r="AD57" i="6" s="1"/>
  <c r="Y445" i="6"/>
  <c r="AC445" i="6" s="1"/>
  <c r="AD445" i="6" s="1"/>
  <c r="Y259" i="6"/>
  <c r="AC259" i="6" s="1"/>
  <c r="AD259" i="6" s="1"/>
  <c r="Y308" i="6"/>
  <c r="AC308" i="6" s="1"/>
  <c r="AD308" i="6" s="1"/>
  <c r="Y486" i="6"/>
  <c r="AC486" i="6" s="1"/>
  <c r="AD486" i="6" s="1"/>
  <c r="Z99" i="4"/>
  <c r="AC99" i="4" s="1"/>
  <c r="Z13" i="5"/>
  <c r="AC13" i="5" s="1"/>
  <c r="Z447" i="4"/>
  <c r="AC447" i="4" s="1"/>
  <c r="Z203" i="4"/>
  <c r="AC203" i="4" s="1"/>
  <c r="Z194" i="4"/>
  <c r="AC194" i="4" s="1"/>
  <c r="Z160" i="4"/>
  <c r="AC160" i="4" s="1"/>
  <c r="Z145" i="4"/>
  <c r="AC145" i="4" s="1"/>
  <c r="Z359" i="4"/>
  <c r="AC359" i="4" s="1"/>
  <c r="Z402" i="4"/>
  <c r="AC402" i="4" s="1"/>
  <c r="Z60" i="4"/>
  <c r="AC60" i="4" s="1"/>
  <c r="Z353" i="4"/>
  <c r="AC353" i="4" s="1"/>
  <c r="Z53" i="4"/>
  <c r="AC53" i="4" s="1"/>
  <c r="Z551" i="4"/>
  <c r="AC551" i="4" s="1"/>
  <c r="Z58" i="4"/>
  <c r="AC58" i="4" s="1"/>
  <c r="Z361" i="4"/>
  <c r="AC361" i="4" s="1"/>
  <c r="Z207" i="4"/>
  <c r="AC207" i="4" s="1"/>
  <c r="Z374" i="4"/>
  <c r="AC374" i="4" s="1"/>
  <c r="Z248" i="4"/>
  <c r="AC248" i="4" s="1"/>
  <c r="Z322" i="4"/>
  <c r="AC322" i="4" s="1"/>
  <c r="Z360" i="4"/>
  <c r="AC360" i="4" s="1"/>
  <c r="Z290" i="4"/>
  <c r="AC290" i="4" s="1"/>
  <c r="Z341" i="4"/>
  <c r="AC341" i="4" s="1"/>
  <c r="Y481" i="6"/>
  <c r="AC481" i="6" s="1"/>
  <c r="AD481" i="6" s="1"/>
  <c r="Y105" i="6"/>
  <c r="AC105" i="6" s="1"/>
  <c r="AD105" i="6" s="1"/>
  <c r="Y306" i="6"/>
  <c r="AC306" i="6" s="1"/>
  <c r="AD306" i="6" s="1"/>
  <c r="Z250" i="4"/>
  <c r="AC250" i="4" s="1"/>
  <c r="Z414" i="4"/>
  <c r="AC414" i="4" s="1"/>
  <c r="Z78" i="5"/>
  <c r="AC78" i="5" s="1"/>
  <c r="Z21" i="5"/>
  <c r="AC21" i="5" s="1"/>
  <c r="Z37" i="5"/>
  <c r="AC37" i="5" s="1"/>
  <c r="Z428" i="4"/>
  <c r="AC428" i="4" s="1"/>
  <c r="Y148" i="6"/>
  <c r="AC148" i="6" s="1"/>
  <c r="AD148" i="6" s="1"/>
  <c r="Y403" i="6"/>
  <c r="AC403" i="6" s="1"/>
  <c r="AD403" i="6" s="1"/>
  <c r="Y74" i="6"/>
  <c r="AC74" i="6" s="1"/>
  <c r="AD74" i="6" s="1"/>
  <c r="Y487" i="6"/>
  <c r="AC487" i="6" s="1"/>
  <c r="AD487" i="6" s="1"/>
  <c r="Y405" i="6"/>
  <c r="AC405" i="6" s="1"/>
  <c r="AD405" i="6" s="1"/>
  <c r="Y290" i="6"/>
  <c r="AC290" i="6" s="1"/>
  <c r="AD290" i="6" s="1"/>
  <c r="Y25" i="6"/>
  <c r="AC25" i="6" s="1"/>
  <c r="AD25" i="6" s="1"/>
  <c r="Y119" i="6"/>
  <c r="AC119" i="6" s="1"/>
  <c r="AD119" i="6" s="1"/>
  <c r="Y157" i="6"/>
  <c r="AC157" i="6" s="1"/>
  <c r="AD157" i="6" s="1"/>
  <c r="Y209" i="6"/>
  <c r="AC209" i="6" s="1"/>
  <c r="AD209" i="6" s="1"/>
  <c r="Y480" i="6"/>
  <c r="AC480" i="6" s="1"/>
  <c r="AD480" i="6" s="1"/>
  <c r="Y309" i="6"/>
  <c r="AC309" i="6" s="1"/>
  <c r="AD309" i="6" s="1"/>
  <c r="Y212" i="6"/>
  <c r="AC212" i="6" s="1"/>
  <c r="AD212" i="6" s="1"/>
  <c r="Y502" i="6"/>
  <c r="AC502" i="6" s="1"/>
  <c r="AD502" i="6" s="1"/>
  <c r="Y515" i="6"/>
  <c r="AC515" i="6" s="1"/>
  <c r="AD515" i="6" s="1"/>
  <c r="Y412" i="6"/>
  <c r="AC412" i="6" s="1"/>
  <c r="AD412" i="6" s="1"/>
  <c r="Y448" i="6"/>
  <c r="AC448" i="6" s="1"/>
  <c r="AD448" i="6" s="1"/>
  <c r="Y142" i="6"/>
  <c r="AC142" i="6" s="1"/>
  <c r="AD142" i="6" s="1"/>
  <c r="Y179" i="6"/>
  <c r="AC179" i="6" s="1"/>
  <c r="AD179" i="6" s="1"/>
  <c r="Y18" i="6"/>
  <c r="AC18" i="6" s="1"/>
  <c r="AD18" i="6" s="1"/>
  <c r="Y243" i="6"/>
  <c r="AC243" i="6" s="1"/>
  <c r="AD243" i="6" s="1"/>
  <c r="Y322" i="6"/>
  <c r="AC322" i="6" s="1"/>
  <c r="AD322" i="6" s="1"/>
  <c r="Y426" i="6"/>
  <c r="AC426" i="6" s="1"/>
  <c r="AD426" i="6" s="1"/>
  <c r="Z246" i="4"/>
  <c r="AC246" i="4" s="1"/>
  <c r="Z182" i="4"/>
  <c r="AC182" i="4" s="1"/>
  <c r="Z262" i="4"/>
  <c r="AC262" i="4" s="1"/>
  <c r="Z535" i="4"/>
  <c r="AC535" i="4" s="1"/>
  <c r="Z123" i="4"/>
  <c r="AC123" i="4" s="1"/>
  <c r="Z323" i="4"/>
  <c r="AC323" i="4" s="1"/>
  <c r="Z218" i="4"/>
  <c r="AC218" i="4" s="1"/>
  <c r="Z76" i="4"/>
  <c r="AC76" i="4" s="1"/>
  <c r="Z17" i="4"/>
  <c r="AC17" i="4" s="1"/>
  <c r="Z44" i="4"/>
  <c r="AC44" i="4" s="1"/>
  <c r="Z450" i="4"/>
  <c r="AC450" i="4" s="1"/>
  <c r="Z350" i="4"/>
  <c r="AC350" i="4" s="1"/>
  <c r="Z19" i="4"/>
  <c r="AC19" i="4" s="1"/>
  <c r="Z180" i="4"/>
  <c r="AC180" i="4" s="1"/>
  <c r="Z263" i="4"/>
  <c r="AC263" i="4" s="1"/>
  <c r="Z161" i="4"/>
  <c r="AC161" i="4" s="1"/>
  <c r="Z78" i="4"/>
  <c r="AC78" i="4" s="1"/>
  <c r="Z284" i="4"/>
  <c r="AC284" i="4" s="1"/>
  <c r="Z260" i="4"/>
  <c r="AC260" i="4" s="1"/>
  <c r="Z464" i="4"/>
  <c r="AC464" i="4" s="1"/>
  <c r="Z186" i="4"/>
  <c r="AC186" i="4" s="1"/>
  <c r="Z200" i="4"/>
  <c r="AC200" i="4" s="1"/>
  <c r="Y51" i="6"/>
  <c r="AC51" i="6" s="1"/>
  <c r="AD51" i="6" s="1"/>
  <c r="Y104" i="6"/>
  <c r="AC104" i="6" s="1"/>
  <c r="AD104" i="6" s="1"/>
  <c r="Z487" i="4"/>
  <c r="AC487" i="4" s="1"/>
  <c r="Z477" i="4"/>
  <c r="AC477" i="4" s="1"/>
  <c r="AD477" i="4" s="1"/>
  <c r="Z324" i="4"/>
  <c r="AC324" i="4" s="1"/>
  <c r="Y452" i="6"/>
  <c r="AC452" i="6" s="1"/>
  <c r="AD452" i="6" s="1"/>
  <c r="Y263" i="6"/>
  <c r="AC263" i="6" s="1"/>
  <c r="AD263" i="6" s="1"/>
  <c r="Y66" i="6"/>
  <c r="AC66" i="6" s="1"/>
  <c r="AD66" i="6" s="1"/>
  <c r="Y194" i="6"/>
  <c r="AC194" i="6" s="1"/>
  <c r="AD194" i="6" s="1"/>
  <c r="Y81" i="6"/>
  <c r="AC81" i="6" s="1"/>
  <c r="AD81" i="6" s="1"/>
  <c r="Y273" i="6"/>
  <c r="AC273" i="6" s="1"/>
  <c r="AD273" i="6" s="1"/>
  <c r="Y239" i="6"/>
  <c r="AC239" i="6" s="1"/>
  <c r="AD239" i="6" s="1"/>
  <c r="Y316" i="6"/>
  <c r="AC316" i="6" s="1"/>
  <c r="AD316" i="6" s="1"/>
  <c r="Y501" i="6"/>
  <c r="AC501" i="6" s="1"/>
  <c r="AD501" i="6" s="1"/>
  <c r="Y270" i="6"/>
  <c r="AC270" i="6" s="1"/>
  <c r="AD270" i="6" s="1"/>
  <c r="Y503" i="6"/>
  <c r="AC503" i="6" s="1"/>
  <c r="AD503" i="6" s="1"/>
  <c r="Y312" i="6"/>
  <c r="AC312" i="6" s="1"/>
  <c r="AD312" i="6" s="1"/>
  <c r="Y347" i="6"/>
  <c r="AC347" i="6" s="1"/>
  <c r="AD347" i="6" s="1"/>
  <c r="Y53" i="6"/>
  <c r="AC53" i="6" s="1"/>
  <c r="AD53" i="6" s="1"/>
  <c r="Y303" i="6"/>
  <c r="AC303" i="6" s="1"/>
  <c r="AD303" i="6" s="1"/>
  <c r="Y297" i="6"/>
  <c r="AC297" i="6" s="1"/>
  <c r="AD297" i="6" s="1"/>
  <c r="Y489" i="6"/>
  <c r="AC489" i="6" s="1"/>
  <c r="AD489" i="6" s="1"/>
  <c r="Y233" i="6"/>
  <c r="AC233" i="6" s="1"/>
  <c r="AD233" i="6" s="1"/>
  <c r="Y120" i="6"/>
  <c r="AC120" i="6" s="1"/>
  <c r="AD120" i="6" s="1"/>
  <c r="Y107" i="6"/>
  <c r="AC107" i="6" s="1"/>
  <c r="AD107" i="6" s="1"/>
  <c r="Y334" i="6"/>
  <c r="AC334" i="6" s="1"/>
  <c r="AD334" i="6" s="1"/>
  <c r="Y225" i="6"/>
  <c r="AC225" i="6" s="1"/>
  <c r="AD225" i="6" s="1"/>
  <c r="Y60" i="6"/>
  <c r="AC60" i="6" s="1"/>
  <c r="AD60" i="6" s="1"/>
  <c r="Z205" i="4"/>
  <c r="AC205" i="4" s="1"/>
  <c r="Z188" i="4"/>
  <c r="AC188" i="4" s="1"/>
  <c r="Z407" i="4"/>
  <c r="AC407" i="4" s="1"/>
  <c r="Z49" i="4"/>
  <c r="AC49" i="4" s="1"/>
  <c r="Z371" i="4"/>
  <c r="AC371" i="4" s="1"/>
  <c r="Z236" i="4"/>
  <c r="AC236" i="4" s="1"/>
  <c r="Z265" i="4"/>
  <c r="AC265" i="4" s="1"/>
  <c r="Z330" i="4"/>
  <c r="AC330" i="4" s="1"/>
  <c r="Z410" i="4"/>
  <c r="AC410" i="4" s="1"/>
  <c r="Z416" i="4"/>
  <c r="AC416" i="4" s="1"/>
  <c r="Z61" i="4"/>
  <c r="AC61" i="4" s="1"/>
  <c r="Z475" i="4"/>
  <c r="AC475" i="4" s="1"/>
  <c r="Z81" i="4"/>
  <c r="AC81" i="4" s="1"/>
  <c r="Z287" i="4"/>
  <c r="AC287" i="4" s="1"/>
  <c r="Z354" i="4"/>
  <c r="AC354" i="4" s="1"/>
  <c r="Z242" i="4"/>
  <c r="AC242" i="4" s="1"/>
  <c r="Z76" i="5"/>
  <c r="AC76" i="5" s="1"/>
  <c r="Z77" i="5"/>
  <c r="AC77" i="5" s="1"/>
  <c r="Z66" i="5"/>
  <c r="AC66" i="5" s="1"/>
  <c r="AD66" i="5" s="1"/>
  <c r="Y191" i="6"/>
  <c r="AC191" i="6" s="1"/>
  <c r="AD191" i="6" s="1"/>
  <c r="Y13" i="6"/>
  <c r="AC13" i="6" s="1"/>
  <c r="AD13" i="6" s="1"/>
  <c r="Y504" i="6"/>
  <c r="AC504" i="6" s="1"/>
  <c r="AD504" i="6" s="1"/>
  <c r="Y520" i="6"/>
  <c r="AC520" i="6" s="1"/>
  <c r="AD520" i="6" s="1"/>
  <c r="Y146" i="6"/>
  <c r="AC146" i="6" s="1"/>
  <c r="AD146" i="6" s="1"/>
  <c r="Y183" i="6"/>
  <c r="AC183" i="6" s="1"/>
  <c r="AD183" i="6" s="1"/>
  <c r="Y244" i="6"/>
  <c r="AC244" i="6" s="1"/>
  <c r="AD244" i="6" s="1"/>
  <c r="Y356" i="6"/>
  <c r="AC356" i="6" s="1"/>
  <c r="AD356" i="6" s="1"/>
  <c r="Y10" i="6"/>
  <c r="AC10" i="6" s="1"/>
  <c r="AD10" i="6" s="1"/>
  <c r="Y224" i="6"/>
  <c r="AC224" i="6" s="1"/>
  <c r="AD224" i="6" s="1"/>
  <c r="Y315" i="6"/>
  <c r="AC315" i="6" s="1"/>
  <c r="AD315" i="6" s="1"/>
  <c r="Y447" i="6"/>
  <c r="AC447" i="6" s="1"/>
  <c r="AD447" i="6" s="1"/>
  <c r="Y506" i="6"/>
  <c r="AC506" i="6" s="1"/>
  <c r="AD506" i="6" s="1"/>
  <c r="Y358" i="6"/>
  <c r="AC358" i="6" s="1"/>
  <c r="AD358" i="6" s="1"/>
  <c r="Y177" i="6"/>
  <c r="AC177" i="6" s="1"/>
  <c r="AD177" i="6" s="1"/>
  <c r="Y200" i="6"/>
  <c r="AC200" i="6" s="1"/>
  <c r="AD200" i="6" s="1"/>
  <c r="Y335" i="6"/>
  <c r="AC335" i="6" s="1"/>
  <c r="AD335" i="6" s="1"/>
  <c r="Y164" i="6"/>
  <c r="AC164" i="6" s="1"/>
  <c r="AD164" i="6" s="1"/>
  <c r="Y109" i="6"/>
  <c r="AC109" i="6" s="1"/>
  <c r="AD109" i="6" s="1"/>
  <c r="Y103" i="6"/>
  <c r="AC103" i="6" s="1"/>
  <c r="AD103" i="6" s="1"/>
  <c r="Y416" i="6"/>
  <c r="AC416" i="6" s="1"/>
  <c r="AD416" i="6" s="1"/>
  <c r="Y541" i="6"/>
  <c r="AC541" i="6" s="1"/>
  <c r="AD541" i="6" s="1"/>
  <c r="Y252" i="6"/>
  <c r="AC252" i="6" s="1"/>
  <c r="AD252" i="6" s="1"/>
  <c r="Z419" i="4"/>
  <c r="AC419" i="4" s="1"/>
  <c r="Z340" i="4"/>
  <c r="AC340" i="4" s="1"/>
  <c r="Z367" i="4"/>
  <c r="AC367" i="4" s="1"/>
  <c r="Z418" i="4"/>
  <c r="AC418" i="4" s="1"/>
  <c r="Z405" i="4"/>
  <c r="AC405" i="4" s="1"/>
  <c r="AD405" i="4" s="1"/>
  <c r="Z27" i="4"/>
  <c r="AC27" i="4" s="1"/>
  <c r="Z247" i="4"/>
  <c r="AC247" i="4" s="1"/>
  <c r="Z338" i="4"/>
  <c r="AC338" i="4" s="1"/>
  <c r="Z192" i="4"/>
  <c r="AC192" i="4" s="1"/>
  <c r="Z86" i="4"/>
  <c r="AC86" i="4" s="1"/>
  <c r="Z488" i="4"/>
  <c r="AC488" i="4" s="1"/>
  <c r="Z114" i="4"/>
  <c r="AC114" i="4" s="1"/>
  <c r="Z299" i="4"/>
  <c r="AC299" i="4" s="1"/>
  <c r="Z509" i="4"/>
  <c r="AC509" i="4" s="1"/>
  <c r="AD509" i="4" s="1"/>
  <c r="Z492" i="4"/>
  <c r="AC492" i="4" s="1"/>
  <c r="Z169" i="4"/>
  <c r="AC169" i="4" s="1"/>
  <c r="Z462" i="4"/>
  <c r="AC462" i="4" s="1"/>
  <c r="Z469" i="4"/>
  <c r="AC469" i="4" s="1"/>
  <c r="AD469" i="4" s="1"/>
  <c r="Z29" i="4"/>
  <c r="AC29" i="4" s="1"/>
  <c r="Z41" i="4"/>
  <c r="AC41" i="4" s="1"/>
  <c r="Z40" i="5"/>
  <c r="AC40" i="5" s="1"/>
  <c r="Z73" i="5"/>
  <c r="AC73" i="5" s="1"/>
  <c r="AD73" i="5" s="1"/>
  <c r="Z22" i="5"/>
  <c r="AC22" i="5" s="1"/>
  <c r="Z36" i="5"/>
  <c r="AC36" i="5" s="1"/>
  <c r="Y123" i="6"/>
  <c r="AC123" i="6" s="1"/>
  <c r="AD123" i="6" s="1"/>
  <c r="Y163" i="6"/>
  <c r="AC163" i="6" s="1"/>
  <c r="AD163" i="6" s="1"/>
  <c r="Y145" i="6"/>
  <c r="AC145" i="6" s="1"/>
  <c r="AD145" i="6" s="1"/>
  <c r="Y232" i="6"/>
  <c r="AC232" i="6" s="1"/>
  <c r="AD232" i="6" s="1"/>
  <c r="Y477" i="6"/>
  <c r="AC477" i="6" s="1"/>
  <c r="AD477" i="6" s="1"/>
  <c r="Y400" i="6"/>
  <c r="AC400" i="6" s="1"/>
  <c r="AD400" i="6" s="1"/>
  <c r="Y324" i="6"/>
  <c r="AC324" i="6" s="1"/>
  <c r="AD324" i="6" s="1"/>
  <c r="Y54" i="6"/>
  <c r="AC54" i="6" s="1"/>
  <c r="AD54" i="6" s="1"/>
  <c r="Y170" i="6"/>
  <c r="AC170" i="6" s="1"/>
  <c r="AD170" i="6" s="1"/>
  <c r="Y518" i="6"/>
  <c r="AC518" i="6" s="1"/>
  <c r="AD518" i="6" s="1"/>
  <c r="Y375" i="6"/>
  <c r="AC375" i="6" s="1"/>
  <c r="AD375" i="6" s="1"/>
  <c r="Y329" i="6"/>
  <c r="AC329" i="6" s="1"/>
  <c r="AD329" i="6" s="1"/>
  <c r="Y513" i="6"/>
  <c r="AC513" i="6" s="1"/>
  <c r="AD513" i="6" s="1"/>
  <c r="Y538" i="6"/>
  <c r="AC538" i="6" s="1"/>
  <c r="AD538" i="6" s="1"/>
  <c r="Y32" i="6"/>
  <c r="AC32" i="6" s="1"/>
  <c r="AD32" i="6" s="1"/>
  <c r="Y229" i="6"/>
  <c r="AC229" i="6" s="1"/>
  <c r="AD229" i="6" s="1"/>
  <c r="Y45" i="6"/>
  <c r="AC45" i="6" s="1"/>
  <c r="AD45" i="6" s="1"/>
  <c r="Y16" i="6"/>
  <c r="AC16" i="6" s="1"/>
  <c r="AD16" i="6" s="1"/>
  <c r="Y88" i="6"/>
  <c r="AC88" i="6" s="1"/>
  <c r="AD88" i="6" s="1"/>
  <c r="Y198" i="6"/>
  <c r="AC198" i="6" s="1"/>
  <c r="AD198" i="6" s="1"/>
  <c r="Y450" i="6"/>
  <c r="AC450" i="6" s="1"/>
  <c r="AD450" i="6" s="1"/>
  <c r="Y410" i="6"/>
  <c r="AC410" i="6" s="1"/>
  <c r="AD410" i="6" s="1"/>
  <c r="Y361" i="6"/>
  <c r="AC361" i="6" s="1"/>
  <c r="AD361" i="6" s="1"/>
  <c r="Z12" i="5"/>
  <c r="AC12" i="5" s="1"/>
  <c r="Z421" i="4"/>
  <c r="AC421" i="4" s="1"/>
  <c r="Z198" i="4"/>
  <c r="AC198" i="4" s="1"/>
  <c r="Z383" i="4"/>
  <c r="AC383" i="4" s="1"/>
  <c r="Z310" i="4"/>
  <c r="AC310" i="4" s="1"/>
  <c r="Z162" i="4"/>
  <c r="AC162" i="4" s="1"/>
  <c r="Z511" i="4"/>
  <c r="AC511" i="4" s="1"/>
  <c r="Z267" i="4"/>
  <c r="AC267" i="4" s="1"/>
  <c r="Z384" i="4"/>
  <c r="AC384" i="4" s="1"/>
  <c r="Z50" i="4"/>
  <c r="AC50" i="4" s="1"/>
  <c r="Z527" i="4"/>
  <c r="AC527" i="4" s="1"/>
  <c r="Z441" i="4"/>
  <c r="AC441" i="4" s="1"/>
  <c r="Z172" i="4"/>
  <c r="AC172" i="4" s="1"/>
  <c r="Z219" i="4"/>
  <c r="AC219" i="4" s="1"/>
  <c r="Z457" i="4"/>
  <c r="AC457" i="4" s="1"/>
  <c r="Z355" i="4"/>
  <c r="AC355" i="4" s="1"/>
  <c r="Z10" i="5"/>
  <c r="AC10" i="5" s="1"/>
  <c r="Y141" i="6"/>
  <c r="AC141" i="6" s="1"/>
  <c r="AD141" i="6" s="1"/>
  <c r="Y465" i="6"/>
  <c r="AC465" i="6" s="1"/>
  <c r="AD465" i="6" s="1"/>
  <c r="Y325" i="6"/>
  <c r="AC325" i="6" s="1"/>
  <c r="AD325" i="6" s="1"/>
  <c r="Z104" i="4"/>
  <c r="AC104" i="4" s="1"/>
  <c r="Z33" i="5"/>
  <c r="AC33" i="5" s="1"/>
  <c r="Z27" i="5"/>
  <c r="AC27" i="5" s="1"/>
  <c r="Y138" i="6"/>
  <c r="AC138" i="6" s="1"/>
  <c r="AD138" i="6" s="1"/>
  <c r="Y219" i="6"/>
  <c r="AC219" i="6" s="1"/>
  <c r="AD219" i="6" s="1"/>
  <c r="Y395" i="6"/>
  <c r="AC395" i="6" s="1"/>
  <c r="AD395" i="6" s="1"/>
  <c r="Y469" i="6"/>
  <c r="AC469" i="6" s="1"/>
  <c r="AD469" i="6" s="1"/>
  <c r="Y525" i="6"/>
  <c r="AC525" i="6" s="1"/>
  <c r="AD525" i="6" s="1"/>
  <c r="Y286" i="6"/>
  <c r="AC286" i="6" s="1"/>
  <c r="AD286" i="6" s="1"/>
  <c r="Y63" i="6"/>
  <c r="AC63" i="6" s="1"/>
  <c r="AD63" i="6" s="1"/>
  <c r="Y97" i="6"/>
  <c r="AC97" i="6" s="1"/>
  <c r="AD97" i="6" s="1"/>
  <c r="Y366" i="6"/>
  <c r="AC366" i="6" s="1"/>
  <c r="AD366" i="6" s="1"/>
  <c r="Y442" i="6"/>
  <c r="AC442" i="6" s="1"/>
  <c r="AD442" i="6" s="1"/>
  <c r="Y427" i="6"/>
  <c r="AC427" i="6" s="1"/>
  <c r="AD427" i="6" s="1"/>
  <c r="Y71" i="6"/>
  <c r="AC71" i="6" s="1"/>
  <c r="AD71" i="6" s="1"/>
  <c r="Y231" i="6"/>
  <c r="AC231" i="6" s="1"/>
  <c r="AD231" i="6" s="1"/>
  <c r="Y331" i="6"/>
  <c r="AC331" i="6" s="1"/>
  <c r="AD331" i="6" s="1"/>
  <c r="Y266" i="6"/>
  <c r="AC266" i="6" s="1"/>
  <c r="AD266" i="6" s="1"/>
  <c r="Y353" i="6"/>
  <c r="AC353" i="6" s="1"/>
  <c r="AD353" i="6" s="1"/>
  <c r="Y52" i="6"/>
  <c r="AC52" i="6" s="1"/>
  <c r="AD52" i="6" s="1"/>
  <c r="Y176" i="6"/>
  <c r="AC176" i="6" s="1"/>
  <c r="AD176" i="6" s="1"/>
  <c r="Y389" i="6"/>
  <c r="AC389" i="6" s="1"/>
  <c r="AD389" i="6" s="1"/>
  <c r="Y42" i="6"/>
  <c r="AC42" i="6" s="1"/>
  <c r="AD42" i="6" s="1"/>
  <c r="Y221" i="6"/>
  <c r="AC221" i="6" s="1"/>
  <c r="AD221" i="6" s="1"/>
  <c r="Y14" i="6"/>
  <c r="AC14" i="6" s="1"/>
  <c r="AD14" i="6" s="1"/>
  <c r="Y214" i="6"/>
  <c r="AC214" i="6" s="1"/>
  <c r="AD214" i="6" s="1"/>
  <c r="Z530" i="4"/>
  <c r="AC530" i="4" s="1"/>
  <c r="Z18" i="4"/>
  <c r="AC18" i="4" s="1"/>
  <c r="Z259" i="4"/>
  <c r="AC259" i="4" s="1"/>
  <c r="Z189" i="4"/>
  <c r="AC189" i="4" s="1"/>
  <c r="Z433" i="4"/>
  <c r="AC433" i="4" s="1"/>
  <c r="Z202" i="4"/>
  <c r="AC202" i="4" s="1"/>
  <c r="Z57" i="4"/>
  <c r="AC57" i="4" s="1"/>
  <c r="Z177" i="4"/>
  <c r="AC177" i="4" s="1"/>
  <c r="Z373" i="4"/>
  <c r="AC373" i="4" s="1"/>
  <c r="Z91" i="4"/>
  <c r="AC91" i="4" s="1"/>
  <c r="Z77" i="4"/>
  <c r="AC77" i="4" s="1"/>
  <c r="Z396" i="4"/>
  <c r="AC396" i="4" s="1"/>
  <c r="Z150" i="4"/>
  <c r="AC150" i="4" s="1"/>
  <c r="Z15" i="4"/>
  <c r="AC15" i="4" s="1"/>
  <c r="Z272" i="4"/>
  <c r="AC272" i="4" s="1"/>
  <c r="Z103" i="4"/>
  <c r="AC103" i="4" s="1"/>
  <c r="Z368" i="4"/>
  <c r="AC368" i="4" s="1"/>
  <c r="Y268" i="6"/>
  <c r="AC268" i="6" s="1"/>
  <c r="AD268" i="6" s="1"/>
  <c r="Y30" i="6"/>
  <c r="AC30" i="6" s="1"/>
  <c r="AD30" i="6" s="1"/>
  <c r="Z521" i="4"/>
  <c r="AC521" i="4" s="1"/>
  <c r="Z193" i="4"/>
  <c r="AC193" i="4" s="1"/>
  <c r="Z362" i="4"/>
  <c r="AC362" i="4" s="1"/>
  <c r="Z443" i="4"/>
  <c r="AC443" i="4" s="1"/>
  <c r="Z28" i="5"/>
  <c r="AC28" i="5" s="1"/>
  <c r="Z59" i="5"/>
  <c r="AC59" i="5" s="1"/>
  <c r="AD59" i="5" s="1"/>
  <c r="Y430" i="6"/>
  <c r="AC430" i="6" s="1"/>
  <c r="AD430" i="6" s="1"/>
  <c r="Y354" i="6"/>
  <c r="AC354" i="6" s="1"/>
  <c r="AD354" i="6" s="1"/>
  <c r="Y302" i="6"/>
  <c r="AC302" i="6" s="1"/>
  <c r="AD302" i="6" s="1"/>
  <c r="Y8" i="6"/>
  <c r="AC8" i="6" s="1"/>
  <c r="AD8" i="6" s="1"/>
  <c r="Y349" i="6"/>
  <c r="AC349" i="6" s="1"/>
  <c r="AD349" i="6" s="1"/>
  <c r="Y488" i="6"/>
  <c r="AC488" i="6" s="1"/>
  <c r="AD488" i="6" s="1"/>
  <c r="Y423" i="6"/>
  <c r="AC423" i="6" s="1"/>
  <c r="AD423" i="6" s="1"/>
  <c r="Y440" i="6"/>
  <c r="AC440" i="6" s="1"/>
  <c r="AD440" i="6" s="1"/>
  <c r="Y537" i="6"/>
  <c r="AC537" i="6" s="1"/>
  <c r="AD537" i="6" s="1"/>
  <c r="Y262" i="6"/>
  <c r="AC262" i="6" s="1"/>
  <c r="AD262" i="6" s="1"/>
  <c r="Y307" i="6"/>
  <c r="AC307" i="6" s="1"/>
  <c r="AD307" i="6" s="1"/>
  <c r="Y296" i="6"/>
  <c r="AC296" i="6" s="1"/>
  <c r="AD296" i="6" s="1"/>
  <c r="Y342" i="6"/>
  <c r="AC342" i="6" s="1"/>
  <c r="AD342" i="6" s="1"/>
  <c r="Y428" i="6"/>
  <c r="AC428" i="6" s="1"/>
  <c r="AD428" i="6" s="1"/>
  <c r="Y288" i="6"/>
  <c r="AC288" i="6" s="1"/>
  <c r="AD288" i="6" s="1"/>
  <c r="Y72" i="6"/>
  <c r="AC72" i="6" s="1"/>
  <c r="AD72" i="6" s="1"/>
  <c r="Y401" i="6"/>
  <c r="AC401" i="6" s="1"/>
  <c r="AD401" i="6" s="1"/>
  <c r="Y547" i="6"/>
  <c r="AC547" i="6" s="1"/>
  <c r="AD547" i="6" s="1"/>
  <c r="Y542" i="6"/>
  <c r="AC542" i="6" s="1"/>
  <c r="AD542" i="6" s="1"/>
  <c r="Y533" i="6"/>
  <c r="AC533" i="6" s="1"/>
  <c r="AD533" i="6" s="1"/>
  <c r="Y507" i="6"/>
  <c r="AC507" i="6" s="1"/>
  <c r="AD507" i="6" s="1"/>
  <c r="Y464" i="6"/>
  <c r="AC464" i="6" s="1"/>
  <c r="AD464" i="6" s="1"/>
  <c r="Y462" i="6"/>
  <c r="AC462" i="6" s="1"/>
  <c r="AD462" i="6" s="1"/>
  <c r="Z471" i="4"/>
  <c r="AC471" i="4" s="1"/>
  <c r="Z504" i="4"/>
  <c r="AC504" i="4" s="1"/>
  <c r="Z388" i="4"/>
  <c r="AC388" i="4" s="1"/>
  <c r="Z481" i="4"/>
  <c r="AC481" i="4" s="1"/>
  <c r="Z216" i="4"/>
  <c r="AC216" i="4" s="1"/>
  <c r="Z524" i="4"/>
  <c r="AC524" i="4" s="1"/>
  <c r="Z430" i="4"/>
  <c r="AC430" i="4" s="1"/>
  <c r="Z138" i="4"/>
  <c r="AC138" i="4" s="1"/>
  <c r="Z326" i="4"/>
  <c r="AC326" i="4" s="1"/>
  <c r="Z311" i="4"/>
  <c r="AC311" i="4" s="1"/>
  <c r="Z417" i="4"/>
  <c r="AC417" i="4" s="1"/>
  <c r="Z38" i="4"/>
  <c r="AC38" i="4" s="1"/>
  <c r="Z458" i="4"/>
  <c r="AC458" i="4" s="1"/>
  <c r="Z556" i="4"/>
  <c r="AC556" i="4" s="1"/>
  <c r="Z424" i="4"/>
  <c r="AC424" i="4" s="1"/>
  <c r="Z346" i="4"/>
  <c r="AC346" i="4" s="1"/>
  <c r="Z82" i="4"/>
  <c r="AC82" i="4" s="1"/>
  <c r="Z529" i="4"/>
  <c r="AC529" i="4" s="1"/>
  <c r="Z503" i="4"/>
  <c r="AC503" i="4" s="1"/>
  <c r="Z369" i="4"/>
  <c r="AC369" i="4" s="1"/>
  <c r="Z30" i="4"/>
  <c r="AC30" i="4" s="1"/>
  <c r="Z87" i="4"/>
  <c r="AC87" i="4" s="1"/>
  <c r="AG403" i="4" l="1"/>
  <c r="AH403" i="4" s="1"/>
  <c r="AC11" i="6"/>
  <c r="AD11" i="6" s="1"/>
  <c r="AG427" i="4"/>
  <c r="AH427" i="4" s="1"/>
  <c r="AF510" i="4"/>
  <c r="AG69" i="5"/>
  <c r="AH69" i="5" s="1"/>
  <c r="AG57" i="5"/>
  <c r="AH57" i="5" s="1"/>
  <c r="AF57" i="5"/>
  <c r="AG405" i="4"/>
  <c r="AH405" i="4" s="1"/>
  <c r="AF405" i="4"/>
  <c r="AG64" i="5"/>
  <c r="AH64" i="5" s="1"/>
  <c r="AF64" i="5"/>
  <c r="AG62" i="5"/>
  <c r="AH62" i="5" s="1"/>
  <c r="AF62" i="5"/>
  <c r="AF73" i="5"/>
  <c r="AG73" i="5"/>
  <c r="AH73" i="5" s="1"/>
  <c r="AG477" i="4"/>
  <c r="AH477" i="4" s="1"/>
  <c r="AF477" i="4"/>
  <c r="AG53" i="5"/>
  <c r="AH53" i="5" s="1"/>
  <c r="AF53" i="5"/>
  <c r="AC7" i="4"/>
  <c r="AG532" i="4"/>
  <c r="AH532" i="4" s="1"/>
  <c r="AF532" i="4"/>
  <c r="AG75" i="5"/>
  <c r="AH75" i="5" s="1"/>
  <c r="AF75" i="5"/>
  <c r="AG72" i="5"/>
  <c r="AH72" i="5" s="1"/>
  <c r="AF72" i="5"/>
  <c r="AF508" i="4"/>
  <c r="AG508" i="4"/>
  <c r="AH508" i="4" s="1"/>
  <c r="AG469" i="4"/>
  <c r="AH469" i="4" s="1"/>
  <c r="AF469" i="4"/>
  <c r="AG473" i="4"/>
  <c r="AH473" i="4" s="1"/>
  <c r="AF473" i="4"/>
  <c r="B70" i="18"/>
  <c r="B72" i="18" s="1"/>
  <c r="AG52" i="5"/>
  <c r="AH52" i="5" s="1"/>
  <c r="AF52" i="5"/>
  <c r="AG56" i="5"/>
  <c r="AH56" i="5" s="1"/>
  <c r="AF56" i="5"/>
  <c r="AF65" i="5"/>
  <c r="AG65" i="5"/>
  <c r="AH65" i="5" s="1"/>
  <c r="AG71" i="5"/>
  <c r="AH71" i="5" s="1"/>
  <c r="AF71" i="5"/>
  <c r="AG420" i="4"/>
  <c r="AH420" i="4" s="1"/>
  <c r="AF420" i="4"/>
  <c r="AG494" i="4"/>
  <c r="AH494" i="4" s="1"/>
  <c r="AF494" i="4"/>
  <c r="AG489" i="4"/>
  <c r="AH489" i="4" s="1"/>
  <c r="AF489" i="4"/>
  <c r="AF59" i="5"/>
  <c r="AG59" i="5"/>
  <c r="AH59" i="5" s="1"/>
  <c r="AF60" i="5"/>
  <c r="AG60" i="5"/>
  <c r="AH60" i="5" s="1"/>
  <c r="AG66" i="5"/>
  <c r="AH66" i="5" s="1"/>
  <c r="AF66" i="5"/>
  <c r="AF493" i="4"/>
  <c r="AG493" i="4"/>
  <c r="AH493" i="4" s="1"/>
  <c r="AF509" i="4"/>
  <c r="AG509" i="4"/>
  <c r="AH509" i="4" s="1"/>
  <c r="AG404" i="4"/>
  <c r="AH404" i="4" s="1"/>
  <c r="AF404" i="4"/>
  <c r="AG505" i="4"/>
  <c r="AH505" i="4" s="1"/>
  <c r="AF505" i="4"/>
  <c r="AF51" i="5"/>
  <c r="AG51" i="5"/>
  <c r="AH51" i="5" s="1"/>
  <c r="AD563" i="4" l="1"/>
  <c r="AD562" i="4" l="1"/>
  <c r="AD564" i="4" s="1"/>
  <c r="AD5" i="4" l="1"/>
  <c r="AD171" i="4" s="1"/>
  <c r="AD5" i="5"/>
  <c r="AD17" i="5" s="1"/>
  <c r="AD144" i="4"/>
  <c r="AD266" i="4"/>
  <c r="AD251" i="4"/>
  <c r="AD478" i="4"/>
  <c r="AD433" i="4"/>
  <c r="AD399" i="4"/>
  <c r="AD130" i="4"/>
  <c r="AD385" i="4"/>
  <c r="AD382" i="4"/>
  <c r="AD392" i="4"/>
  <c r="AD436" i="4"/>
  <c r="AD157" i="4"/>
  <c r="AD129" i="4"/>
  <c r="AD525" i="4"/>
  <c r="AD366" i="4"/>
  <c r="AD206" i="4"/>
  <c r="AD362" i="4"/>
  <c r="AD57" i="4"/>
  <c r="AD180" i="4"/>
  <c r="AD34" i="4"/>
  <c r="AD369" i="4"/>
  <c r="AD479" i="4"/>
  <c r="AD44" i="4"/>
  <c r="AD89" i="4"/>
  <c r="AD133" i="4"/>
  <c r="AD363" i="4"/>
  <c r="AD499" i="4"/>
  <c r="AD319" i="4"/>
  <c r="AD468" i="4"/>
  <c r="AD204" i="4"/>
  <c r="AD383" i="4"/>
  <c r="AD31" i="4"/>
  <c r="AD451" i="4"/>
  <c r="AD413" i="4"/>
  <c r="AD39" i="4"/>
  <c r="AD207" i="4"/>
  <c r="AD429" i="4"/>
  <c r="AD56" i="4"/>
  <c r="AD418" i="4"/>
  <c r="AD210" i="4"/>
  <c r="AD111" i="4"/>
  <c r="AD186" i="4"/>
  <c r="AD30" i="4"/>
  <c r="AD551" i="4"/>
  <c r="AD170" i="4"/>
  <c r="AD546" i="4"/>
  <c r="AD376" i="4"/>
  <c r="AD351" i="4"/>
  <c r="AD228" i="4"/>
  <c r="AD199" i="4"/>
  <c r="AD242" i="4"/>
  <c r="AD517" i="4"/>
  <c r="AD198" i="4"/>
  <c r="AD159" i="4"/>
  <c r="AD200" i="4"/>
  <c r="AD311" i="4"/>
  <c r="AD147" i="4"/>
  <c r="AD501" i="4"/>
  <c r="AD225" i="4"/>
  <c r="AD440" i="4"/>
  <c r="AD234" i="4"/>
  <c r="AD520" i="4"/>
  <c r="AD474" i="4"/>
  <c r="AD109" i="4"/>
  <c r="AD375" i="4"/>
  <c r="AD384" i="4"/>
  <c r="AD192" i="4"/>
  <c r="AD329" i="4"/>
  <c r="AD75" i="4"/>
  <c r="AD72" i="4"/>
  <c r="AD24" i="5"/>
  <c r="AD33" i="5"/>
  <c r="AD35" i="5"/>
  <c r="AD7" i="5"/>
  <c r="AD16" i="5"/>
  <c r="AD41" i="5"/>
  <c r="AD48" i="5"/>
  <c r="AD61" i="5"/>
  <c r="AD9" i="5"/>
  <c r="AD70" i="5"/>
  <c r="AD29" i="5"/>
  <c r="AD10" i="5"/>
  <c r="AD14" i="5"/>
  <c r="AD11" i="5" l="1"/>
  <c r="AD324" i="4"/>
  <c r="AD360" i="4"/>
  <c r="AD178" i="4"/>
  <c r="AD557" i="4"/>
  <c r="AD235" i="4"/>
  <c r="AD80" i="4"/>
  <c r="AD453" i="4"/>
  <c r="AD461" i="4"/>
  <c r="AG461" i="4" s="1"/>
  <c r="AH461" i="4" s="1"/>
  <c r="AD40" i="4"/>
  <c r="AD522" i="4"/>
  <c r="AG522" i="4" s="1"/>
  <c r="AH522" i="4" s="1"/>
  <c r="AD173" i="4"/>
  <c r="AD59" i="4"/>
  <c r="AG59" i="4" s="1"/>
  <c r="AH59" i="4" s="1"/>
  <c r="AD259" i="4"/>
  <c r="AG259" i="4" s="1"/>
  <c r="AH259" i="4" s="1"/>
  <c r="AD143" i="4"/>
  <c r="AG143" i="4" s="1"/>
  <c r="AH143" i="4" s="1"/>
  <c r="AD146" i="4"/>
  <c r="AG146" i="4" s="1"/>
  <c r="AH146" i="4" s="1"/>
  <c r="AD432" i="4"/>
  <c r="AG432" i="4" s="1"/>
  <c r="AH432" i="4" s="1"/>
  <c r="AD449" i="4"/>
  <c r="AF449" i="4" s="1"/>
  <c r="AD126" i="4"/>
  <c r="AF126" i="4" s="1"/>
  <c r="AD236" i="4"/>
  <c r="AG236" i="4" s="1"/>
  <c r="AH236" i="4" s="1"/>
  <c r="AD185" i="4"/>
  <c r="AG185" i="4" s="1"/>
  <c r="AH185" i="4" s="1"/>
  <c r="AD148" i="4"/>
  <c r="AF148" i="4" s="1"/>
  <c r="AD100" i="4"/>
  <c r="AG100" i="4" s="1"/>
  <c r="AH100" i="4" s="1"/>
  <c r="AD317" i="4"/>
  <c r="AG317" i="4" s="1"/>
  <c r="AH317" i="4" s="1"/>
  <c r="AD541" i="4"/>
  <c r="AF541" i="4" s="1"/>
  <c r="AD169" i="4"/>
  <c r="AD353" i="4"/>
  <c r="AD27" i="4"/>
  <c r="AD53" i="4"/>
  <c r="AD327" i="4"/>
  <c r="AD92" i="4"/>
  <c r="AD283" i="4"/>
  <c r="AD374" i="4"/>
  <c r="AG374" i="4" s="1"/>
  <c r="AH374" i="4" s="1"/>
  <c r="AD370" i="4"/>
  <c r="AF370" i="4" s="1"/>
  <c r="AD548" i="4"/>
  <c r="AG548" i="4" s="1"/>
  <c r="AH548" i="4" s="1"/>
  <c r="AD33" i="4"/>
  <c r="AF33" i="4" s="1"/>
  <c r="AD114" i="4"/>
  <c r="AG114" i="4" s="1"/>
  <c r="AH114" i="4" s="1"/>
  <c r="AD490" i="4"/>
  <c r="AG490" i="4" s="1"/>
  <c r="AH490" i="4" s="1"/>
  <c r="AD191" i="4"/>
  <c r="AD51" i="4"/>
  <c r="AG51" i="4" s="1"/>
  <c r="AH51" i="4" s="1"/>
  <c r="AD285" i="4"/>
  <c r="AF285" i="4" s="1"/>
  <c r="AD553" i="4"/>
  <c r="AF553" i="4" s="1"/>
  <c r="AD387" i="4"/>
  <c r="AF387" i="4" s="1"/>
  <c r="AD424" i="4"/>
  <c r="AG424" i="4" s="1"/>
  <c r="AH424" i="4" s="1"/>
  <c r="AD398" i="4"/>
  <c r="AF398" i="4" s="1"/>
  <c r="AD20" i="4"/>
  <c r="AF20" i="4" s="1"/>
  <c r="AD16" i="4"/>
  <c r="AF16" i="4" s="1"/>
  <c r="AD467" i="4"/>
  <c r="AG467" i="4" s="1"/>
  <c r="AH467" i="4" s="1"/>
  <c r="AD549" i="4"/>
  <c r="AF549" i="4" s="1"/>
  <c r="AD540" i="4"/>
  <c r="AD459" i="4"/>
  <c r="AD483" i="4"/>
  <c r="AD79" i="4"/>
  <c r="AD208" i="4"/>
  <c r="AG208" i="4" s="1"/>
  <c r="AH208" i="4" s="1"/>
  <c r="AD267" i="4"/>
  <c r="AD539" i="4"/>
  <c r="AD402" i="4"/>
  <c r="AG402" i="4" s="1"/>
  <c r="AH402" i="4" s="1"/>
  <c r="AD128" i="4"/>
  <c r="AF128" i="4" s="1"/>
  <c r="AD256" i="4"/>
  <c r="AG256" i="4" s="1"/>
  <c r="AH256" i="4" s="1"/>
  <c r="AD313" i="4"/>
  <c r="AF313" i="4" s="1"/>
  <c r="AD101" i="4"/>
  <c r="AG101" i="4" s="1"/>
  <c r="AH101" i="4" s="1"/>
  <c r="AD112" i="4"/>
  <c r="AG112" i="4" s="1"/>
  <c r="AH112" i="4" s="1"/>
  <c r="AD446" i="4"/>
  <c r="AG446" i="4" s="1"/>
  <c r="AH446" i="4" s="1"/>
  <c r="AD135" i="4"/>
  <c r="AG135" i="4" s="1"/>
  <c r="AH135" i="4" s="1"/>
  <c r="AD43" i="4"/>
  <c r="AG43" i="4" s="1"/>
  <c r="AH43" i="4" s="1"/>
  <c r="AD292" i="4"/>
  <c r="AG292" i="4" s="1"/>
  <c r="AH292" i="4" s="1"/>
  <c r="AD412" i="4"/>
  <c r="AG412" i="4" s="1"/>
  <c r="AH412" i="4" s="1"/>
  <c r="AD268" i="4"/>
  <c r="AF268" i="4" s="1"/>
  <c r="AD269" i="4"/>
  <c r="AG269" i="4" s="1"/>
  <c r="AH269" i="4" s="1"/>
  <c r="AD66" i="4"/>
  <c r="AF66" i="4" s="1"/>
  <c r="AD25" i="4"/>
  <c r="AG25" i="4" s="1"/>
  <c r="AH25" i="4" s="1"/>
  <c r="AD528" i="4"/>
  <c r="AF528" i="4" s="1"/>
  <c r="AD289" i="4"/>
  <c r="AF289" i="4" s="1"/>
  <c r="AD177" i="4"/>
  <c r="AD373" i="4"/>
  <c r="AD202" i="4"/>
  <c r="AD298" i="4"/>
  <c r="AD131" i="4"/>
  <c r="AG131" i="4" s="1"/>
  <c r="AH131" i="4" s="1"/>
  <c r="AD462" i="4"/>
  <c r="AF462" i="4" s="1"/>
  <c r="AD465" i="4"/>
  <c r="AG465" i="4" s="1"/>
  <c r="AH465" i="4" s="1"/>
  <c r="AD134" i="4"/>
  <c r="AD310" i="4"/>
  <c r="AG310" i="4" s="1"/>
  <c r="AH310" i="4" s="1"/>
  <c r="AD88" i="4"/>
  <c r="AG88" i="4" s="1"/>
  <c r="AH88" i="4" s="1"/>
  <c r="AD253" i="4"/>
  <c r="AF253" i="4" s="1"/>
  <c r="AD513" i="4"/>
  <c r="AF513" i="4" s="1"/>
  <c r="AD108" i="4"/>
  <c r="AF108" i="4" s="1"/>
  <c r="AD243" i="4"/>
  <c r="AF243" i="4" s="1"/>
  <c r="AD417" i="4"/>
  <c r="AG417" i="4" s="1"/>
  <c r="AH417" i="4" s="1"/>
  <c r="AD29" i="4"/>
  <c r="AG29" i="4" s="1"/>
  <c r="AH29" i="4" s="1"/>
  <c r="AD182" i="4"/>
  <c r="AF182" i="4" s="1"/>
  <c r="AD142" i="4"/>
  <c r="AG142" i="4" s="1"/>
  <c r="AH142" i="4" s="1"/>
  <c r="AD284" i="4"/>
  <c r="AG284" i="4" s="1"/>
  <c r="AH284" i="4" s="1"/>
  <c r="AD279" i="4"/>
  <c r="AG279" i="4" s="1"/>
  <c r="AH279" i="4" s="1"/>
  <c r="AD161" i="4"/>
  <c r="AF161" i="4" s="1"/>
  <c r="AD240" i="4"/>
  <c r="AF240" i="4" s="1"/>
  <c r="AD28" i="4"/>
  <c r="AG28" i="4" s="1"/>
  <c r="AH28" i="4" s="1"/>
  <c r="AD119" i="4"/>
  <c r="AG119" i="4" s="1"/>
  <c r="AH119" i="4" s="1"/>
  <c r="AD303" i="4"/>
  <c r="AD422" i="4"/>
  <c r="AD326" i="4"/>
  <c r="AD524" i="4"/>
  <c r="AF524" i="4" s="1"/>
  <c r="AD388" i="4"/>
  <c r="AG388" i="4" s="1"/>
  <c r="AH388" i="4" s="1"/>
  <c r="AD301" i="4"/>
  <c r="AF301" i="4" s="1"/>
  <c r="AD457" i="4"/>
  <c r="AG457" i="4" s="1"/>
  <c r="AH457" i="4" s="1"/>
  <c r="AD179" i="4"/>
  <c r="AF179" i="4" s="1"/>
  <c r="AD96" i="4"/>
  <c r="AF96" i="4" s="1"/>
  <c r="AD10" i="4"/>
  <c r="AF10" i="4" s="1"/>
  <c r="AD176" i="4"/>
  <c r="AG176" i="4" s="1"/>
  <c r="AH176" i="4" s="1"/>
  <c r="AD124" i="4"/>
  <c r="AF124" i="4" s="1"/>
  <c r="AD335" i="4"/>
  <c r="AG335" i="4" s="1"/>
  <c r="AH335" i="4" s="1"/>
  <c r="AD488" i="4"/>
  <c r="AG488" i="4" s="1"/>
  <c r="AH488" i="4" s="1"/>
  <c r="AD492" i="4"/>
  <c r="AG492" i="4" s="1"/>
  <c r="AH492" i="4" s="1"/>
  <c r="AD103" i="4"/>
  <c r="AF103" i="4" s="1"/>
  <c r="AD76" i="4"/>
  <c r="AG76" i="4" s="1"/>
  <c r="AH76" i="4" s="1"/>
  <c r="AD535" i="4"/>
  <c r="AF535" i="4" s="1"/>
  <c r="AD249" i="4"/>
  <c r="AF249" i="4" s="1"/>
  <c r="AD216" i="4"/>
  <c r="AG216" i="4" s="1"/>
  <c r="AH216" i="4" s="1"/>
  <c r="AD368" i="4"/>
  <c r="AF368" i="4" s="1"/>
  <c r="AD380" i="4"/>
  <c r="AG380" i="4" s="1"/>
  <c r="AH380" i="4" s="1"/>
  <c r="AD537" i="4"/>
  <c r="AG537" i="4" s="1"/>
  <c r="AH537" i="4" s="1"/>
  <c r="AD239" i="4"/>
  <c r="AF239" i="4" s="1"/>
  <c r="AD282" i="4"/>
  <c r="AD428" i="4"/>
  <c r="AD441" i="4"/>
  <c r="AD527" i="4"/>
  <c r="AG527" i="4" s="1"/>
  <c r="AH527" i="4" s="1"/>
  <c r="AD258" i="4"/>
  <c r="AD340" i="4"/>
  <c r="AD149" i="4"/>
  <c r="AG149" i="4" s="1"/>
  <c r="AH149" i="4" s="1"/>
  <c r="AD296" i="4"/>
  <c r="AG296" i="4" s="1"/>
  <c r="AH296" i="4" s="1"/>
  <c r="AD245" i="4"/>
  <c r="AG245" i="4" s="1"/>
  <c r="AH245" i="4" s="1"/>
  <c r="AD309" i="4"/>
  <c r="AG309" i="4" s="1"/>
  <c r="AH309" i="4" s="1"/>
  <c r="AD209" i="4"/>
  <c r="AF209" i="4" s="1"/>
  <c r="AD443" i="4"/>
  <c r="AG443" i="4" s="1"/>
  <c r="AH443" i="4" s="1"/>
  <c r="AD290" i="4"/>
  <c r="AG290" i="4" s="1"/>
  <c r="AH290" i="4" s="1"/>
  <c r="AD11" i="4"/>
  <c r="AG11" i="4" s="1"/>
  <c r="AH11" i="4" s="1"/>
  <c r="AD230" i="4"/>
  <c r="AF230" i="4" s="1"/>
  <c r="AD320" i="4"/>
  <c r="AG320" i="4" s="1"/>
  <c r="AH320" i="4" s="1"/>
  <c r="AD224" i="4"/>
  <c r="AG224" i="4" s="1"/>
  <c r="AH224" i="4" s="1"/>
  <c r="AD364" i="4"/>
  <c r="AF364" i="4" s="1"/>
  <c r="AD47" i="4"/>
  <c r="AF47" i="4" s="1"/>
  <c r="AD50" i="4"/>
  <c r="AF50" i="4" s="1"/>
  <c r="AD481" i="4"/>
  <c r="AG481" i="4" s="1"/>
  <c r="AH481" i="4" s="1"/>
  <c r="AD342" i="4"/>
  <c r="AG342" i="4" s="1"/>
  <c r="AH342" i="4" s="1"/>
  <c r="AD332" i="4"/>
  <c r="AF332" i="4" s="1"/>
  <c r="AD246" i="4"/>
  <c r="AG246" i="4" s="1"/>
  <c r="AH246" i="4" s="1"/>
  <c r="AD321" i="4"/>
  <c r="AD534" i="4"/>
  <c r="AD476" i="4"/>
  <c r="AF476" i="4" s="1"/>
  <c r="AD358" i="4"/>
  <c r="AD486" i="4"/>
  <c r="AF486" i="4" s="1"/>
  <c r="AD512" i="4"/>
  <c r="AD386" i="4"/>
  <c r="AD318" i="4"/>
  <c r="AG318" i="4" s="1"/>
  <c r="AH318" i="4" s="1"/>
  <c r="AD330" i="4"/>
  <c r="AF330" i="4" s="1"/>
  <c r="AD514" i="4"/>
  <c r="AF514" i="4" s="1"/>
  <c r="AD221" i="4"/>
  <c r="AG221" i="4" s="1"/>
  <c r="AH221" i="4" s="1"/>
  <c r="AD531" i="4"/>
  <c r="AG531" i="4" s="1"/>
  <c r="AH531" i="4" s="1"/>
  <c r="AD163" i="4"/>
  <c r="AG163" i="4" s="1"/>
  <c r="AH163" i="4" s="1"/>
  <c r="AD394" i="4"/>
  <c r="AG394" i="4" s="1"/>
  <c r="AH394" i="4" s="1"/>
  <c r="AD84" i="4"/>
  <c r="AF84" i="4" s="1"/>
  <c r="AD516" i="4"/>
  <c r="AG516" i="4" s="1"/>
  <c r="AH516" i="4" s="1"/>
  <c r="AD397" i="4"/>
  <c r="AG397" i="4" s="1"/>
  <c r="AH397" i="4" s="1"/>
  <c r="AD215" i="4"/>
  <c r="AG215" i="4" s="1"/>
  <c r="AH215" i="4" s="1"/>
  <c r="AD545" i="4"/>
  <c r="AF545" i="4" s="1"/>
  <c r="AD71" i="4"/>
  <c r="AF71" i="4" s="1"/>
  <c r="AD213" i="4"/>
  <c r="AG213" i="4" s="1"/>
  <c r="AH213" i="4" s="1"/>
  <c r="AD160" i="4"/>
  <c r="AG160" i="4" s="1"/>
  <c r="AH160" i="4" s="1"/>
  <c r="AD60" i="4"/>
  <c r="AF60" i="4" s="1"/>
  <c r="AD118" i="4"/>
  <c r="AG118" i="4" s="1"/>
  <c r="AH118" i="4" s="1"/>
  <c r="AD227" i="4"/>
  <c r="AD542" i="4"/>
  <c r="AD165" i="4"/>
  <c r="AF165" i="4" s="1"/>
  <c r="AD307" i="4"/>
  <c r="AD82" i="4"/>
  <c r="AF82" i="4" s="1"/>
  <c r="AD48" i="4"/>
  <c r="AD377" i="4"/>
  <c r="AD379" i="4"/>
  <c r="AF379" i="4" s="1"/>
  <c r="AD288" i="4"/>
  <c r="AF288" i="4" s="1"/>
  <c r="AD190" i="4"/>
  <c r="AG190" i="4" s="1"/>
  <c r="AH190" i="4" s="1"/>
  <c r="AD106" i="4"/>
  <c r="AG106" i="4" s="1"/>
  <c r="AH106" i="4" s="1"/>
  <c r="AD164" i="4"/>
  <c r="AG164" i="4" s="1"/>
  <c r="AH164" i="4" s="1"/>
  <c r="AD463" i="4"/>
  <c r="AF463" i="4" s="1"/>
  <c r="AD64" i="4"/>
  <c r="AG64" i="4" s="1"/>
  <c r="AH64" i="4" s="1"/>
  <c r="AD166" i="4"/>
  <c r="AF166" i="4" s="1"/>
  <c r="AD365" i="4"/>
  <c r="AG365" i="4" s="1"/>
  <c r="AH365" i="4" s="1"/>
  <c r="AD408" i="4"/>
  <c r="AF408" i="4" s="1"/>
  <c r="AD86" i="4"/>
  <c r="AF86" i="4" s="1"/>
  <c r="AD222" i="4"/>
  <c r="AG222" i="4" s="1"/>
  <c r="AH222" i="4" s="1"/>
  <c r="AD26" i="4"/>
  <c r="AG26" i="4" s="1"/>
  <c r="AH26" i="4" s="1"/>
  <c r="AD238" i="4"/>
  <c r="AG238" i="4" s="1"/>
  <c r="AH238" i="4" s="1"/>
  <c r="AD67" i="4"/>
  <c r="AG67" i="4" s="1"/>
  <c r="AH67" i="4" s="1"/>
  <c r="AD503" i="4"/>
  <c r="AF503" i="4" s="1"/>
  <c r="AD416" i="4"/>
  <c r="AG416" i="4" s="1"/>
  <c r="AH416" i="4" s="1"/>
  <c r="AD36" i="4"/>
  <c r="AD90" i="4"/>
  <c r="AD45" i="4"/>
  <c r="AF45" i="4" s="1"/>
  <c r="AD356" i="4"/>
  <c r="AD316" i="4"/>
  <c r="AG316" i="4" s="1"/>
  <c r="AH316" i="4" s="1"/>
  <c r="AD339" i="4"/>
  <c r="AD464" i="4"/>
  <c r="AD265" i="4"/>
  <c r="AD555" i="4"/>
  <c r="AF555" i="4" s="1"/>
  <c r="AD349" i="4"/>
  <c r="AF349" i="4" s="1"/>
  <c r="AD359" i="4"/>
  <c r="AG359" i="4" s="1"/>
  <c r="AH359" i="4" s="1"/>
  <c r="AD294" i="4"/>
  <c r="AG294" i="4" s="1"/>
  <c r="AH294" i="4" s="1"/>
  <c r="AD434" i="4"/>
  <c r="AG434" i="4" s="1"/>
  <c r="AH434" i="4" s="1"/>
  <c r="AD105" i="4"/>
  <c r="AF105" i="4" s="1"/>
  <c r="AD552" i="4"/>
  <c r="AF552" i="4" s="1"/>
  <c r="AD519" i="4"/>
  <c r="AF519" i="4" s="1"/>
  <c r="AD305" i="4"/>
  <c r="AF305" i="4" s="1"/>
  <c r="AD495" i="4"/>
  <c r="AF495" i="4" s="1"/>
  <c r="AD336" i="4"/>
  <c r="AG336" i="4" s="1"/>
  <c r="AH336" i="4" s="1"/>
  <c r="AD506" i="4"/>
  <c r="AG506" i="4" s="1"/>
  <c r="AH506" i="4" s="1"/>
  <c r="AD439" i="4"/>
  <c r="AG439" i="4" s="1"/>
  <c r="AH439" i="4" s="1"/>
  <c r="AD529" i="4"/>
  <c r="AF529" i="4" s="1"/>
  <c r="AD81" i="4"/>
  <c r="AG81" i="4" s="1"/>
  <c r="AH81" i="4" s="1"/>
  <c r="AD254" i="4"/>
  <c r="AG254" i="4" s="1"/>
  <c r="AH254" i="4" s="1"/>
  <c r="AD425" i="4"/>
  <c r="AF425" i="4" s="1"/>
  <c r="AD293" i="4"/>
  <c r="AD341" i="4"/>
  <c r="AG341" i="4" s="1"/>
  <c r="AH341" i="4" s="1"/>
  <c r="AD145" i="4"/>
  <c r="AG145" i="4" s="1"/>
  <c r="AH145" i="4" s="1"/>
  <c r="AD442" i="4"/>
  <c r="AG442" i="4" s="1"/>
  <c r="AH442" i="4" s="1"/>
  <c r="AD261" i="4"/>
  <c r="AD302" i="4"/>
  <c r="AD295" i="4"/>
  <c r="AG295" i="4" s="1"/>
  <c r="AH295" i="4" s="1"/>
  <c r="AD63" i="4"/>
  <c r="AG63" i="4" s="1"/>
  <c r="AH63" i="4" s="1"/>
  <c r="AD195" i="4"/>
  <c r="AG195" i="4" s="1"/>
  <c r="AH195" i="4" s="1"/>
  <c r="AD229" i="4"/>
  <c r="AF229" i="4" s="1"/>
  <c r="AD275" i="4"/>
  <c r="AF275" i="4" s="1"/>
  <c r="AD174" i="4"/>
  <c r="AF174" i="4" s="1"/>
  <c r="AD304" i="4"/>
  <c r="AG304" i="4" s="1"/>
  <c r="AH304" i="4" s="1"/>
  <c r="AD260" i="4"/>
  <c r="AF260" i="4" s="1"/>
  <c r="AD538" i="4"/>
  <c r="AG538" i="4" s="1"/>
  <c r="AH538" i="4" s="1"/>
  <c r="AD421" i="4"/>
  <c r="AF421" i="4" s="1"/>
  <c r="AD232" i="4"/>
  <c r="AF232" i="4" s="1"/>
  <c r="AD277" i="4"/>
  <c r="AG277" i="4" s="1"/>
  <c r="AH277" i="4" s="1"/>
  <c r="AD328" i="4"/>
  <c r="AG328" i="4" s="1"/>
  <c r="AH328" i="4" s="1"/>
  <c r="AD471" i="4"/>
  <c r="AF471" i="4" s="1"/>
  <c r="AD485" i="4"/>
  <c r="AF485" i="4" s="1"/>
  <c r="AD511" i="4"/>
  <c r="AG511" i="4" s="1"/>
  <c r="AH511" i="4" s="1"/>
  <c r="AD168" i="4"/>
  <c r="AG168" i="4" s="1"/>
  <c r="AH168" i="4" s="1"/>
  <c r="AD346" i="4"/>
  <c r="AF346" i="4" s="1"/>
  <c r="AD271" i="4"/>
  <c r="AD19" i="4"/>
  <c r="AG19" i="4" s="1"/>
  <c r="AH19" i="4" s="1"/>
  <c r="AD85" i="4"/>
  <c r="AD214" i="4"/>
  <c r="AG214" i="4" s="1"/>
  <c r="AH214" i="4" s="1"/>
  <c r="AD287" i="4"/>
  <c r="AF287" i="4" s="1"/>
  <c r="AD281" i="4"/>
  <c r="AD77" i="4"/>
  <c r="AF77" i="4" s="1"/>
  <c r="AD247" i="4"/>
  <c r="AG247" i="4" s="1"/>
  <c r="AH247" i="4" s="1"/>
  <c r="AD136" i="4"/>
  <c r="AF136" i="4" s="1"/>
  <c r="AD205" i="4"/>
  <c r="AG205" i="4" s="1"/>
  <c r="AH205" i="4" s="1"/>
  <c r="AD13" i="4"/>
  <c r="AG13" i="4" s="1"/>
  <c r="AH13" i="4" s="1"/>
  <c r="AD262" i="4"/>
  <c r="AF262" i="4" s="1"/>
  <c r="AD49" i="4"/>
  <c r="AF49" i="4" s="1"/>
  <c r="AD137" i="4"/>
  <c r="AG137" i="4" s="1"/>
  <c r="AH137" i="4" s="1"/>
  <c r="AD252" i="4"/>
  <c r="AF252" i="4" s="1"/>
  <c r="AD409" i="4"/>
  <c r="AF409" i="4" s="1"/>
  <c r="AD367" i="4"/>
  <c r="AF367" i="4" s="1"/>
  <c r="AD291" i="4"/>
  <c r="AG291" i="4" s="1"/>
  <c r="AH291" i="4" s="1"/>
  <c r="AD456" i="4"/>
  <c r="AF456" i="4" s="1"/>
  <c r="AD393" i="4"/>
  <c r="AG393" i="4" s="1"/>
  <c r="AH393" i="4" s="1"/>
  <c r="AD378" i="4"/>
  <c r="AF378" i="4" s="1"/>
  <c r="AD390" i="4"/>
  <c r="AF390" i="4" s="1"/>
  <c r="AD38" i="4"/>
  <c r="AG38" i="4" s="1"/>
  <c r="AH38" i="4" s="1"/>
  <c r="AD350" i="4"/>
  <c r="AF350" i="4" s="1"/>
  <c r="AD530" i="4"/>
  <c r="AD504" i="4"/>
  <c r="AD113" i="4"/>
  <c r="AG113" i="4" s="1"/>
  <c r="AH113" i="4" s="1"/>
  <c r="AD68" i="4"/>
  <c r="AG68" i="4" s="1"/>
  <c r="AH68" i="4" s="1"/>
  <c r="AD218" i="4"/>
  <c r="AD217" i="4"/>
  <c r="AD155" i="4"/>
  <c r="AF155" i="4" s="1"/>
  <c r="AD188" i="4"/>
  <c r="AG188" i="4" s="1"/>
  <c r="AH188" i="4" s="1"/>
  <c r="AD151" i="4"/>
  <c r="AF151" i="4" s="1"/>
  <c r="AD69" i="4"/>
  <c r="AF69" i="4" s="1"/>
  <c r="AD18" i="4"/>
  <c r="AG18" i="4" s="1"/>
  <c r="AH18" i="4" s="1"/>
  <c r="AD257" i="4"/>
  <c r="AG257" i="4" s="1"/>
  <c r="AH257" i="4" s="1"/>
  <c r="AD447" i="4"/>
  <c r="AG447" i="4" s="1"/>
  <c r="AH447" i="4" s="1"/>
  <c r="AD526" i="4"/>
  <c r="AG526" i="4" s="1"/>
  <c r="AH526" i="4" s="1"/>
  <c r="AD533" i="4"/>
  <c r="AG533" i="4" s="1"/>
  <c r="AH533" i="4" s="1"/>
  <c r="AD223" i="4"/>
  <c r="AF223" i="4" s="1"/>
  <c r="AD187" i="4"/>
  <c r="AG187" i="4" s="1"/>
  <c r="AH187" i="4" s="1"/>
  <c r="AD184" i="4"/>
  <c r="AG184" i="4" s="1"/>
  <c r="AH184" i="4" s="1"/>
  <c r="AD162" i="4"/>
  <c r="AG162" i="4" s="1"/>
  <c r="AH162" i="4" s="1"/>
  <c r="AD78" i="4"/>
  <c r="AF78" i="4" s="1"/>
  <c r="AD115" i="4"/>
  <c r="AG115" i="4" s="1"/>
  <c r="AH115" i="4" s="1"/>
  <c r="AD496" i="4"/>
  <c r="AF496" i="4" s="1"/>
  <c r="AD42" i="4"/>
  <c r="AF42" i="4" s="1"/>
  <c r="AD389" i="4"/>
  <c r="AG389" i="4" s="1"/>
  <c r="AH389" i="4" s="1"/>
  <c r="AD337" i="4"/>
  <c r="AD431" i="4"/>
  <c r="AD371" i="4"/>
  <c r="AD70" i="4"/>
  <c r="AF70" i="4" s="1"/>
  <c r="AD430" i="4"/>
  <c r="AD12" i="4"/>
  <c r="AG12" i="4" s="1"/>
  <c r="AH12" i="4" s="1"/>
  <c r="AD482" i="4"/>
  <c r="AF482" i="4" s="1"/>
  <c r="AD74" i="4"/>
  <c r="AG74" i="4" s="1"/>
  <c r="AH74" i="4" s="1"/>
  <c r="AD94" i="4"/>
  <c r="AG94" i="4" s="1"/>
  <c r="AH94" i="4" s="1"/>
  <c r="AD98" i="4"/>
  <c r="AG98" i="4" s="1"/>
  <c r="AH98" i="4" s="1"/>
  <c r="AD123" i="4"/>
  <c r="AG123" i="4" s="1"/>
  <c r="AH123" i="4" s="1"/>
  <c r="AD139" i="4"/>
  <c r="AF139" i="4" s="1"/>
  <c r="AD334" i="4"/>
  <c r="AF334" i="4" s="1"/>
  <c r="AD361" i="4"/>
  <c r="AG361" i="4" s="1"/>
  <c r="AH361" i="4" s="1"/>
  <c r="AD345" i="4"/>
  <c r="AF345" i="4" s="1"/>
  <c r="AD297" i="4"/>
  <c r="AG297" i="4" s="1"/>
  <c r="AH297" i="4" s="1"/>
  <c r="AD323" i="4"/>
  <c r="AG323" i="4" s="1"/>
  <c r="AH323" i="4" s="1"/>
  <c r="AD125" i="4"/>
  <c r="AF125" i="4" s="1"/>
  <c r="AD181" i="4"/>
  <c r="AF181" i="4" s="1"/>
  <c r="AD150" i="4"/>
  <c r="AF150" i="4" s="1"/>
  <c r="AD102" i="4"/>
  <c r="AG102" i="4" s="1"/>
  <c r="AH102" i="4" s="1"/>
  <c r="AD141" i="4"/>
  <c r="AF141" i="4" s="1"/>
  <c r="AD17" i="4"/>
  <c r="AG17" i="4" s="1"/>
  <c r="AH17" i="4" s="1"/>
  <c r="AD127" i="4"/>
  <c r="AF127" i="4" s="1"/>
  <c r="AD272" i="4"/>
  <c r="AD7" i="4"/>
  <c r="AD454" i="4"/>
  <c r="AD458" i="4"/>
  <c r="AF458" i="4" s="1"/>
  <c r="AD450" i="4"/>
  <c r="AD498" i="4"/>
  <c r="AF498" i="4" s="1"/>
  <c r="AD448" i="4"/>
  <c r="AF448" i="4" s="1"/>
  <c r="AD52" i="4"/>
  <c r="AF52" i="4" s="1"/>
  <c r="AD41" i="4"/>
  <c r="AG41" i="4" s="1"/>
  <c r="AH41" i="4" s="1"/>
  <c r="AD23" i="4"/>
  <c r="AF23" i="4" s="1"/>
  <c r="AD122" i="4"/>
  <c r="AF122" i="4" s="1"/>
  <c r="AD547" i="4"/>
  <c r="AF547" i="4" s="1"/>
  <c r="AD331" i="4"/>
  <c r="AG331" i="4" s="1"/>
  <c r="AH331" i="4" s="1"/>
  <c r="AD286" i="4"/>
  <c r="AF286" i="4" s="1"/>
  <c r="AD299" i="4"/>
  <c r="AF299" i="4" s="1"/>
  <c r="AD264" i="4"/>
  <c r="AF264" i="4" s="1"/>
  <c r="AD58" i="4"/>
  <c r="AF58" i="4" s="1"/>
  <c r="AD497" i="4"/>
  <c r="AF497" i="4" s="1"/>
  <c r="AD95" i="4"/>
  <c r="AG95" i="4" s="1"/>
  <c r="AH95" i="4" s="1"/>
  <c r="AD156" i="4"/>
  <c r="AF156" i="4" s="1"/>
  <c r="AD110" i="4"/>
  <c r="AF110" i="4" s="1"/>
  <c r="AD244" i="4"/>
  <c r="AF244" i="4" s="1"/>
  <c r="AD475" i="4"/>
  <c r="AG475" i="4" s="1"/>
  <c r="AH475" i="4" s="1"/>
  <c r="AD15" i="4"/>
  <c r="AD347" i="4"/>
  <c r="AD37" i="4"/>
  <c r="AF37" i="4" s="1"/>
  <c r="AD54" i="4"/>
  <c r="AG54" i="4" s="1"/>
  <c r="AH54" i="4" s="1"/>
  <c r="AD437" i="4"/>
  <c r="AD312" i="4"/>
  <c r="AG312" i="4" s="1"/>
  <c r="AH312" i="4" s="1"/>
  <c r="AD550" i="4"/>
  <c r="AF550" i="4" s="1"/>
  <c r="AD250" i="4"/>
  <c r="AF250" i="4" s="1"/>
  <c r="AD61" i="4"/>
  <c r="AF61" i="4" s="1"/>
  <c r="AD536" i="4"/>
  <c r="AF536" i="4" s="1"/>
  <c r="AD172" i="4"/>
  <c r="AG172" i="4" s="1"/>
  <c r="AH172" i="4" s="1"/>
  <c r="AD396" i="4"/>
  <c r="AG396" i="4" s="1"/>
  <c r="AH396" i="4" s="1"/>
  <c r="AD348" i="4"/>
  <c r="AG348" i="4" s="1"/>
  <c r="AH348" i="4" s="1"/>
  <c r="AD248" i="4"/>
  <c r="AF248" i="4" s="1"/>
  <c r="AD270" i="4"/>
  <c r="AF270" i="4" s="1"/>
  <c r="AD83" i="4"/>
  <c r="AG83" i="4" s="1"/>
  <c r="AH83" i="4" s="1"/>
  <c r="AD355" i="4"/>
  <c r="AG355" i="4" s="1"/>
  <c r="AH355" i="4" s="1"/>
  <c r="AD452" i="4"/>
  <c r="AF452" i="4" s="1"/>
  <c r="AD152" i="4"/>
  <c r="AF152" i="4" s="1"/>
  <c r="AD138" i="4"/>
  <c r="AG138" i="4" s="1"/>
  <c r="AH138" i="4" s="1"/>
  <c r="AD273" i="4"/>
  <c r="AG273" i="4" s="1"/>
  <c r="AH273" i="4" s="1"/>
  <c r="AD344" i="4"/>
  <c r="AG344" i="4" s="1"/>
  <c r="AH344" i="4" s="1"/>
  <c r="AD554" i="4"/>
  <c r="AF554" i="4" s="1"/>
  <c r="AD322" i="4"/>
  <c r="AG322" i="4" s="1"/>
  <c r="AH322" i="4" s="1"/>
  <c r="AD556" i="4"/>
  <c r="AD466" i="4"/>
  <c r="AD419" i="4"/>
  <c r="AF419" i="4" s="1"/>
  <c r="AD14" i="4"/>
  <c r="AD395" i="4"/>
  <c r="AD445" i="4"/>
  <c r="AF445" i="4" s="1"/>
  <c r="AD472" i="4"/>
  <c r="AG472" i="4" s="1"/>
  <c r="AH472" i="4" s="1"/>
  <c r="AD414" i="4"/>
  <c r="AD8" i="4"/>
  <c r="AF8" i="4" s="1"/>
  <c r="AD107" i="4"/>
  <c r="AG107" i="4" s="1"/>
  <c r="AH107" i="4" s="1"/>
  <c r="AD203" i="4"/>
  <c r="AG203" i="4" s="1"/>
  <c r="AH203" i="4" s="1"/>
  <c r="AD158" i="4"/>
  <c r="AG158" i="4" s="1"/>
  <c r="AH158" i="4" s="1"/>
  <c r="AD543" i="4"/>
  <c r="AG543" i="4" s="1"/>
  <c r="AH543" i="4" s="1"/>
  <c r="AD470" i="4"/>
  <c r="AF470" i="4" s="1"/>
  <c r="AD515" i="4"/>
  <c r="AG515" i="4" s="1"/>
  <c r="AH515" i="4" s="1"/>
  <c r="AD372" i="4"/>
  <c r="AF372" i="4" s="1"/>
  <c r="AD507" i="4"/>
  <c r="AG507" i="4" s="1"/>
  <c r="AH507" i="4" s="1"/>
  <c r="AD333" i="4"/>
  <c r="AG333" i="4" s="1"/>
  <c r="AH333" i="4" s="1"/>
  <c r="AD167" i="4"/>
  <c r="AF167" i="4" s="1"/>
  <c r="AD523" i="4"/>
  <c r="AG523" i="4" s="1"/>
  <c r="AH523" i="4" s="1"/>
  <c r="AD357" i="4"/>
  <c r="AG357" i="4" s="1"/>
  <c r="AH357" i="4" s="1"/>
  <c r="AD521" i="4"/>
  <c r="AG521" i="4" s="1"/>
  <c r="AH521" i="4" s="1"/>
  <c r="AD99" i="4"/>
  <c r="AF99" i="4" s="1"/>
  <c r="AD411" i="4"/>
  <c r="AG411" i="4" s="1"/>
  <c r="AH411" i="4" s="1"/>
  <c r="AD91" i="4"/>
  <c r="AF91" i="4" s="1"/>
  <c r="AD189" i="4"/>
  <c r="AD237" i="4"/>
  <c r="AD407" i="4"/>
  <c r="AD263" i="4"/>
  <c r="AF263" i="4" s="1"/>
  <c r="AD233" i="4"/>
  <c r="AF233" i="4" s="1"/>
  <c r="AD220" i="4"/>
  <c r="AF220" i="4" s="1"/>
  <c r="AD274" i="4"/>
  <c r="AG274" i="4" s="1"/>
  <c r="AH274" i="4" s="1"/>
  <c r="AD116" i="4"/>
  <c r="AF116" i="4" s="1"/>
  <c r="AD231" i="4"/>
  <c r="AG231" i="4" s="1"/>
  <c r="AH231" i="4" s="1"/>
  <c r="AD153" i="4"/>
  <c r="AG153" i="4" s="1"/>
  <c r="AH153" i="4" s="1"/>
  <c r="AD444" i="4"/>
  <c r="AG444" i="4" s="1"/>
  <c r="AH444" i="4" s="1"/>
  <c r="AD211" i="4"/>
  <c r="AG211" i="4" s="1"/>
  <c r="AH211" i="4" s="1"/>
  <c r="AD343" i="4"/>
  <c r="AG343" i="4" s="1"/>
  <c r="AH343" i="4" s="1"/>
  <c r="AD197" i="4"/>
  <c r="AG197" i="4" s="1"/>
  <c r="AH197" i="4" s="1"/>
  <c r="AD480" i="4"/>
  <c r="AG480" i="4" s="1"/>
  <c r="AH480" i="4" s="1"/>
  <c r="AD24" i="4"/>
  <c r="AF24" i="4" s="1"/>
  <c r="AD423" i="4"/>
  <c r="AG423" i="4" s="1"/>
  <c r="AH423" i="4" s="1"/>
  <c r="AD9" i="4"/>
  <c r="AF9" i="4" s="1"/>
  <c r="AD121" i="4"/>
  <c r="AG121" i="4" s="1"/>
  <c r="AH121" i="4" s="1"/>
  <c r="AD219" i="4"/>
  <c r="AG219" i="4" s="1"/>
  <c r="AH219" i="4" s="1"/>
  <c r="AD21" i="4"/>
  <c r="AG21" i="4" s="1"/>
  <c r="AH21" i="4" s="1"/>
  <c r="AD255" i="4"/>
  <c r="AG255" i="4" s="1"/>
  <c r="AH255" i="4" s="1"/>
  <c r="AD241" i="4"/>
  <c r="AG241" i="4" s="1"/>
  <c r="AH241" i="4" s="1"/>
  <c r="AD400" i="4"/>
  <c r="AF400" i="4" s="1"/>
  <c r="AD410" i="4"/>
  <c r="AD354" i="4"/>
  <c r="AD212" i="4"/>
  <c r="AD308" i="4"/>
  <c r="AF308" i="4" s="1"/>
  <c r="AD435" i="4"/>
  <c r="AF435" i="4" s="1"/>
  <c r="AD314" i="4"/>
  <c r="AG314" i="4" s="1"/>
  <c r="AH314" i="4" s="1"/>
  <c r="AD226" i="4"/>
  <c r="AG226" i="4" s="1"/>
  <c r="AH226" i="4" s="1"/>
  <c r="AD455" i="4"/>
  <c r="AF455" i="4" s="1"/>
  <c r="AD406" i="4"/>
  <c r="AF406" i="4" s="1"/>
  <c r="AD338" i="4"/>
  <c r="AF338" i="4" s="1"/>
  <c r="AD502" i="4"/>
  <c r="AF502" i="4" s="1"/>
  <c r="AD391" i="4"/>
  <c r="AF391" i="4" s="1"/>
  <c r="AD104" i="4"/>
  <c r="AG104" i="4" s="1"/>
  <c r="AH104" i="4" s="1"/>
  <c r="AD120" i="4"/>
  <c r="AF120" i="4" s="1"/>
  <c r="AD300" i="4"/>
  <c r="AG300" i="4" s="1"/>
  <c r="AH300" i="4" s="1"/>
  <c r="AD140" i="4"/>
  <c r="AG140" i="4" s="1"/>
  <c r="AH140" i="4" s="1"/>
  <c r="AD491" i="4"/>
  <c r="AG491" i="4" s="1"/>
  <c r="AH491" i="4" s="1"/>
  <c r="AD193" i="4"/>
  <c r="AF193" i="4" s="1"/>
  <c r="AD438" i="4"/>
  <c r="AG438" i="4" s="1"/>
  <c r="AH438" i="4" s="1"/>
  <c r="AD415" i="4"/>
  <c r="AF415" i="4" s="1"/>
  <c r="AD194" i="4"/>
  <c r="AG194" i="4" s="1"/>
  <c r="AH194" i="4" s="1"/>
  <c r="AD426" i="4"/>
  <c r="AG426" i="4" s="1"/>
  <c r="AH426" i="4" s="1"/>
  <c r="AD87" i="4"/>
  <c r="AF87" i="4" s="1"/>
  <c r="AD196" i="4"/>
  <c r="AF196" i="4" s="1"/>
  <c r="AD201" i="4"/>
  <c r="AD97" i="4"/>
  <c r="AF97" i="4" s="1"/>
  <c r="AD500" i="4"/>
  <c r="AF500" i="4" s="1"/>
  <c r="AD544" i="4"/>
  <c r="AD280" i="4"/>
  <c r="AG280" i="4" s="1"/>
  <c r="AH280" i="4" s="1"/>
  <c r="AD62" i="4"/>
  <c r="AG62" i="4" s="1"/>
  <c r="AH62" i="4" s="1"/>
  <c r="AD487" i="4"/>
  <c r="AG487" i="4" s="1"/>
  <c r="AH487" i="4" s="1"/>
  <c r="AD73" i="4"/>
  <c r="AG73" i="4" s="1"/>
  <c r="AH73" i="4" s="1"/>
  <c r="AD65" i="4"/>
  <c r="AF65" i="4" s="1"/>
  <c r="AD183" i="4"/>
  <c r="AF183" i="4" s="1"/>
  <c r="AD278" i="4"/>
  <c r="AF278" i="4" s="1"/>
  <c r="AD132" i="4"/>
  <c r="AG132" i="4" s="1"/>
  <c r="AH132" i="4" s="1"/>
  <c r="AD117" i="4"/>
  <c r="AF117" i="4" s="1"/>
  <c r="AD46" i="4"/>
  <c r="AG46" i="4" s="1"/>
  <c r="AH46" i="4" s="1"/>
  <c r="AD306" i="4"/>
  <c r="AG306" i="4" s="1"/>
  <c r="AH306" i="4" s="1"/>
  <c r="AD175" i="4"/>
  <c r="AF175" i="4" s="1"/>
  <c r="AD381" i="4"/>
  <c r="AG381" i="4" s="1"/>
  <c r="AH381" i="4" s="1"/>
  <c r="AD325" i="4"/>
  <c r="AG325" i="4" s="1"/>
  <c r="AH325" i="4" s="1"/>
  <c r="AD460" i="4"/>
  <c r="AF460" i="4" s="1"/>
  <c r="AD55" i="4"/>
  <c r="AG55" i="4" s="1"/>
  <c r="AH55" i="4" s="1"/>
  <c r="AD276" i="4"/>
  <c r="AF276" i="4" s="1"/>
  <c r="AD352" i="4"/>
  <c r="AF352" i="4" s="1"/>
  <c r="AD401" i="4"/>
  <c r="AF401" i="4" s="1"/>
  <c r="AD22" i="4"/>
  <c r="AG22" i="4" s="1"/>
  <c r="AH22" i="4" s="1"/>
  <c r="AD93" i="4"/>
  <c r="AD35" i="4"/>
  <c r="AG35" i="4" s="1"/>
  <c r="AH35" i="4" s="1"/>
  <c r="AD484" i="4"/>
  <c r="AD154" i="4"/>
  <c r="AF154" i="4" s="1"/>
  <c r="AD315" i="4"/>
  <c r="AF315" i="4" s="1"/>
  <c r="AD32" i="4"/>
  <c r="AG32" i="4" s="1"/>
  <c r="AH32" i="4" s="1"/>
  <c r="AD518" i="4"/>
  <c r="AG518" i="4" s="1"/>
  <c r="AH518" i="4" s="1"/>
  <c r="AD63" i="5"/>
  <c r="AF63" i="5" s="1"/>
  <c r="AD49" i="5"/>
  <c r="AF49" i="5" s="1"/>
  <c r="AD8" i="5"/>
  <c r="AG8" i="5" s="1"/>
  <c r="AH8" i="5" s="1"/>
  <c r="AD50" i="5"/>
  <c r="AG50" i="5" s="1"/>
  <c r="AH50" i="5" s="1"/>
  <c r="AD38" i="5"/>
  <c r="AG38" i="5" s="1"/>
  <c r="AH38" i="5" s="1"/>
  <c r="AD32" i="5"/>
  <c r="AF32" i="5" s="1"/>
  <c r="AD37" i="5"/>
  <c r="AF37" i="5" s="1"/>
  <c r="AD55" i="5"/>
  <c r="AF55" i="5" s="1"/>
  <c r="AD67" i="5"/>
  <c r="AF67" i="5" s="1"/>
  <c r="AD42" i="5"/>
  <c r="AG42" i="5" s="1"/>
  <c r="AH42" i="5" s="1"/>
  <c r="AD40" i="5"/>
  <c r="AG40" i="5" s="1"/>
  <c r="AH40" i="5" s="1"/>
  <c r="AD44" i="5"/>
  <c r="AG44" i="5" s="1"/>
  <c r="AH44" i="5" s="1"/>
  <c r="AD23" i="5"/>
  <c r="AF23" i="5" s="1"/>
  <c r="AD20" i="5"/>
  <c r="AF20" i="5" s="1"/>
  <c r="AD30" i="5"/>
  <c r="AF30" i="5" s="1"/>
  <c r="AD68" i="5"/>
  <c r="AG68" i="5" s="1"/>
  <c r="AH68" i="5" s="1"/>
  <c r="AD31" i="5"/>
  <c r="AF31" i="5" s="1"/>
  <c r="AD45" i="5"/>
  <c r="AF45" i="5" s="1"/>
  <c r="AD58" i="5"/>
  <c r="AF58" i="5" s="1"/>
  <c r="AD13" i="5"/>
  <c r="AF13" i="5" s="1"/>
  <c r="AD28" i="5"/>
  <c r="AG28" i="5" s="1"/>
  <c r="AH28" i="5" s="1"/>
  <c r="AD46" i="5"/>
  <c r="AG46" i="5" s="1"/>
  <c r="AH46" i="5" s="1"/>
  <c r="AD74" i="5"/>
  <c r="AG74" i="5" s="1"/>
  <c r="AH74" i="5" s="1"/>
  <c r="AD19" i="5"/>
  <c r="AG19" i="5" s="1"/>
  <c r="AH19" i="5" s="1"/>
  <c r="AD47" i="5"/>
  <c r="AF47" i="5" s="1"/>
  <c r="AD22" i="5"/>
  <c r="AF22" i="5" s="1"/>
  <c r="AD15" i="5"/>
  <c r="AF15" i="5" s="1"/>
  <c r="AD18" i="5"/>
  <c r="AF18" i="5" s="1"/>
  <c r="AD76" i="5"/>
  <c r="AF76" i="5" s="1"/>
  <c r="AD39" i="5"/>
  <c r="AF39" i="5" s="1"/>
  <c r="AD36" i="5"/>
  <c r="AF36" i="5" s="1"/>
  <c r="AD77" i="5"/>
  <c r="AG77" i="5" s="1"/>
  <c r="AH77" i="5" s="1"/>
  <c r="AD34" i="5"/>
  <c r="AG34" i="5" s="1"/>
  <c r="AH34" i="5" s="1"/>
  <c r="AD12" i="5"/>
  <c r="AF12" i="5" s="1"/>
  <c r="AD21" i="5"/>
  <c r="AG21" i="5" s="1"/>
  <c r="AH21" i="5" s="1"/>
  <c r="AD27" i="5"/>
  <c r="AG27" i="5" s="1"/>
  <c r="AH27" i="5" s="1"/>
  <c r="AD54" i="5"/>
  <c r="AF54" i="5" s="1"/>
  <c r="AD26" i="5"/>
  <c r="AG26" i="5" s="1"/>
  <c r="AH26" i="5" s="1"/>
  <c r="AD25" i="5"/>
  <c r="AG25" i="5" s="1"/>
  <c r="AH25" i="5" s="1"/>
  <c r="AD78" i="5"/>
  <c r="AG78" i="5" s="1"/>
  <c r="AH78" i="5" s="1"/>
  <c r="AD43" i="5"/>
  <c r="AG7" i="5"/>
  <c r="AF7" i="5"/>
  <c r="AG436" i="4"/>
  <c r="AH436" i="4" s="1"/>
  <c r="AF436" i="4"/>
  <c r="AG430" i="4"/>
  <c r="AH430" i="4" s="1"/>
  <c r="AF430" i="4"/>
  <c r="AG218" i="4"/>
  <c r="AH218" i="4" s="1"/>
  <c r="AF218" i="4"/>
  <c r="AG261" i="4"/>
  <c r="AH261" i="4" s="1"/>
  <c r="AF261" i="4"/>
  <c r="AF339" i="4"/>
  <c r="AG339" i="4"/>
  <c r="AH339" i="4" s="1"/>
  <c r="AF539" i="4"/>
  <c r="AG539" i="4"/>
  <c r="AH539" i="4" s="1"/>
  <c r="AF483" i="4"/>
  <c r="AG483" i="4"/>
  <c r="AH483" i="4" s="1"/>
  <c r="AF383" i="4"/>
  <c r="AG383" i="4"/>
  <c r="AH383" i="4" s="1"/>
  <c r="AF399" i="4"/>
  <c r="AG399" i="4"/>
  <c r="AH399" i="4" s="1"/>
  <c r="AG169" i="4"/>
  <c r="AH169" i="4" s="1"/>
  <c r="AF169" i="4"/>
  <c r="AG171" i="4"/>
  <c r="AH171" i="4" s="1"/>
  <c r="AF171" i="4"/>
  <c r="AF145" i="4"/>
  <c r="AG356" i="4"/>
  <c r="AH356" i="4" s="1"/>
  <c r="AF356" i="4"/>
  <c r="AF27" i="4"/>
  <c r="AG27" i="4"/>
  <c r="AH27" i="4" s="1"/>
  <c r="AF384" i="4"/>
  <c r="AG384" i="4"/>
  <c r="AH384" i="4" s="1"/>
  <c r="AG14" i="4"/>
  <c r="AH14" i="4" s="1"/>
  <c r="AF14" i="4"/>
  <c r="AG407" i="4"/>
  <c r="AH407" i="4" s="1"/>
  <c r="AF407" i="4"/>
  <c r="AG212" i="4"/>
  <c r="AH212" i="4" s="1"/>
  <c r="AF212" i="4"/>
  <c r="AG44" i="4"/>
  <c r="AH44" i="4" s="1"/>
  <c r="AF44" i="4"/>
  <c r="AG206" i="4"/>
  <c r="AH206" i="4" s="1"/>
  <c r="AF206" i="4"/>
  <c r="AG45" i="4"/>
  <c r="AH45" i="4" s="1"/>
  <c r="AG319" i="4"/>
  <c r="AH319" i="4" s="1"/>
  <c r="AF319" i="4"/>
  <c r="AG474" i="4"/>
  <c r="AH474" i="4" s="1"/>
  <c r="AF474" i="4"/>
  <c r="AG178" i="4"/>
  <c r="AH178" i="4" s="1"/>
  <c r="AF178" i="4"/>
  <c r="AF296" i="4"/>
  <c r="AF134" i="4"/>
  <c r="AG134" i="4"/>
  <c r="AH134" i="4" s="1"/>
  <c r="AG486" i="4"/>
  <c r="AH486" i="4" s="1"/>
  <c r="AG534" i="4"/>
  <c r="AH534" i="4" s="1"/>
  <c r="AF534" i="4"/>
  <c r="AF479" i="4"/>
  <c r="AG479" i="4"/>
  <c r="AH479" i="4" s="1"/>
  <c r="AF316" i="4"/>
  <c r="AG35" i="5"/>
  <c r="AH35" i="5" s="1"/>
  <c r="AF35" i="5"/>
  <c r="AF457" i="4"/>
  <c r="AF362" i="4"/>
  <c r="AG362" i="4"/>
  <c r="AH362" i="4" s="1"/>
  <c r="AG111" i="4"/>
  <c r="AH111" i="4" s="1"/>
  <c r="AF111" i="4"/>
  <c r="AG109" i="4"/>
  <c r="AH109" i="4" s="1"/>
  <c r="AF109" i="4"/>
  <c r="AG30" i="4"/>
  <c r="AH30" i="4" s="1"/>
  <c r="AF30" i="4"/>
  <c r="AF214" i="4"/>
  <c r="AG90" i="4"/>
  <c r="AH90" i="4" s="1"/>
  <c r="AF90" i="4"/>
  <c r="AG520" i="4"/>
  <c r="AH520" i="4" s="1"/>
  <c r="AF520" i="4"/>
  <c r="AG200" i="4"/>
  <c r="AH200" i="4" s="1"/>
  <c r="AF200" i="4"/>
  <c r="AF442" i="4"/>
  <c r="AF468" i="4"/>
  <c r="AG468" i="4"/>
  <c r="AH468" i="4" s="1"/>
  <c r="AG293" i="4"/>
  <c r="AH293" i="4" s="1"/>
  <c r="AF293" i="4"/>
  <c r="AG56" i="4"/>
  <c r="AH56" i="4" s="1"/>
  <c r="AF56" i="4"/>
  <c r="AG70" i="4"/>
  <c r="AH70" i="4" s="1"/>
  <c r="AF392" i="4"/>
  <c r="AG392" i="4"/>
  <c r="AH392" i="4" s="1"/>
  <c r="AG517" i="4"/>
  <c r="AH517" i="4" s="1"/>
  <c r="AF517" i="4"/>
  <c r="AG127" i="4"/>
  <c r="AH127" i="4" s="1"/>
  <c r="AG350" i="4"/>
  <c r="AH350" i="4" s="1"/>
  <c r="AG425" i="4"/>
  <c r="AH425" i="4" s="1"/>
  <c r="AF307" i="4"/>
  <c r="AG307" i="4"/>
  <c r="AH307" i="4" s="1"/>
  <c r="AG93" i="4"/>
  <c r="AH93" i="4" s="1"/>
  <c r="AF93" i="4"/>
  <c r="AF14" i="5"/>
  <c r="AG14" i="5"/>
  <c r="AH14" i="5" s="1"/>
  <c r="AG48" i="5"/>
  <c r="AH48" i="5" s="1"/>
  <c r="AF48" i="5"/>
  <c r="AG24" i="5"/>
  <c r="AH24" i="5" s="1"/>
  <c r="AF24" i="5"/>
  <c r="AG363" i="4"/>
  <c r="AH363" i="4" s="1"/>
  <c r="AF363" i="4"/>
  <c r="AG419" i="4"/>
  <c r="AH419" i="4" s="1"/>
  <c r="AF341" i="4"/>
  <c r="AG33" i="5"/>
  <c r="AH33" i="5" s="1"/>
  <c r="AF33" i="5"/>
  <c r="AG263" i="4"/>
  <c r="AH263" i="4" s="1"/>
  <c r="AF149" i="4"/>
  <c r="AG234" i="4"/>
  <c r="AH234" i="4" s="1"/>
  <c r="AF234" i="4"/>
  <c r="AG45" i="5"/>
  <c r="AH45" i="5" s="1"/>
  <c r="AF17" i="5"/>
  <c r="AG17" i="5"/>
  <c r="AH17" i="5" s="1"/>
  <c r="AG347" i="4"/>
  <c r="AH347" i="4" s="1"/>
  <c r="AF347" i="4"/>
  <c r="AG165" i="4"/>
  <c r="AH165" i="4" s="1"/>
  <c r="AG484" i="4"/>
  <c r="AH484" i="4" s="1"/>
  <c r="AF484" i="4"/>
  <c r="AH7" i="5"/>
  <c r="AG204" i="4"/>
  <c r="AH204" i="4" s="1"/>
  <c r="AF204" i="4"/>
  <c r="AF19" i="4"/>
  <c r="AF389" i="4"/>
  <c r="AG346" i="4"/>
  <c r="AH346" i="4" s="1"/>
  <c r="AF433" i="4"/>
  <c r="AG433" i="4"/>
  <c r="AH433" i="4" s="1"/>
  <c r="AG10" i="5"/>
  <c r="AH10" i="5" s="1"/>
  <c r="AF10" i="5"/>
  <c r="AF41" i="5"/>
  <c r="AG41" i="5"/>
  <c r="AH41" i="5" s="1"/>
  <c r="AF11" i="5"/>
  <c r="AG11" i="5"/>
  <c r="AH11" i="5" s="1"/>
  <c r="AG225" i="4"/>
  <c r="AH225" i="4" s="1"/>
  <c r="AF225" i="4"/>
  <c r="AG376" i="4"/>
  <c r="AH376" i="4" s="1"/>
  <c r="AF376" i="4"/>
  <c r="AF39" i="4"/>
  <c r="AG39" i="4"/>
  <c r="AH39" i="4" s="1"/>
  <c r="AG133" i="4"/>
  <c r="AH133" i="4" s="1"/>
  <c r="AF133" i="4"/>
  <c r="AG180" i="4"/>
  <c r="AH180" i="4" s="1"/>
  <c r="AF180" i="4"/>
  <c r="AG129" i="4"/>
  <c r="AH129" i="4" s="1"/>
  <c r="AF129" i="4"/>
  <c r="AG324" i="4"/>
  <c r="AH324" i="4" s="1"/>
  <c r="AF324" i="4"/>
  <c r="AG557" i="4"/>
  <c r="AH557" i="4" s="1"/>
  <c r="AF557" i="4"/>
  <c r="AG80" i="4"/>
  <c r="AH80" i="4" s="1"/>
  <c r="AF80" i="4"/>
  <c r="AG453" i="4"/>
  <c r="AH453" i="4" s="1"/>
  <c r="AF453" i="4"/>
  <c r="AG327" i="4"/>
  <c r="AH327" i="4" s="1"/>
  <c r="AF327" i="4"/>
  <c r="AF191" i="4"/>
  <c r="AG191" i="4"/>
  <c r="AH191" i="4" s="1"/>
  <c r="AG298" i="4"/>
  <c r="AH298" i="4" s="1"/>
  <c r="AF298" i="4"/>
  <c r="AG358" i="4"/>
  <c r="AH358" i="4" s="1"/>
  <c r="AF358" i="4"/>
  <c r="AG321" i="4"/>
  <c r="AH321" i="4" s="1"/>
  <c r="AF321" i="4"/>
  <c r="AG375" i="4"/>
  <c r="AH375" i="4" s="1"/>
  <c r="AF375" i="4"/>
  <c r="AG369" i="4"/>
  <c r="AH369" i="4" s="1"/>
  <c r="AF369" i="4"/>
  <c r="AG53" i="4"/>
  <c r="AH53" i="4" s="1"/>
  <c r="AF53" i="4"/>
  <c r="AF272" i="4"/>
  <c r="AG272" i="4"/>
  <c r="AH272" i="4" s="1"/>
  <c r="AG271" i="4"/>
  <c r="AH271" i="4" s="1"/>
  <c r="AF271" i="4"/>
  <c r="AG228" i="4"/>
  <c r="AH228" i="4" s="1"/>
  <c r="AF228" i="4"/>
  <c r="AF258" i="4"/>
  <c r="AG258" i="4"/>
  <c r="AH258" i="4" s="1"/>
  <c r="AG58" i="5"/>
  <c r="AH58" i="5" s="1"/>
  <c r="AF7" i="4"/>
  <c r="AG37" i="4"/>
  <c r="AH37" i="4" s="1"/>
  <c r="AF208" i="4"/>
  <c r="AF459" i="4"/>
  <c r="AG459" i="4"/>
  <c r="AH459" i="4" s="1"/>
  <c r="AF402" i="4"/>
  <c r="AG154" i="4"/>
  <c r="AH154" i="4" s="1"/>
  <c r="AG360" i="4"/>
  <c r="AH360" i="4" s="1"/>
  <c r="AF360" i="4"/>
  <c r="AG186" i="4"/>
  <c r="AH186" i="4" s="1"/>
  <c r="AF186" i="4"/>
  <c r="AF85" i="4"/>
  <c r="AG85" i="4"/>
  <c r="AH85" i="4" s="1"/>
  <c r="AF504" i="4"/>
  <c r="AG504" i="4"/>
  <c r="AH504" i="4" s="1"/>
  <c r="AF418" i="4"/>
  <c r="AG418" i="4"/>
  <c r="AH418" i="4" s="1"/>
  <c r="AG382" i="4"/>
  <c r="AH382" i="4" s="1"/>
  <c r="AF382" i="4"/>
  <c r="AG337" i="4"/>
  <c r="AH337" i="4" s="1"/>
  <c r="AF337" i="4"/>
  <c r="AF465" i="4"/>
  <c r="AF525" i="4"/>
  <c r="AG525" i="4"/>
  <c r="AH525" i="4" s="1"/>
  <c r="AG207" i="4"/>
  <c r="AH207" i="4" s="1"/>
  <c r="AF207" i="4"/>
  <c r="AF72" i="4"/>
  <c r="AG72" i="4"/>
  <c r="AH72" i="4" s="1"/>
  <c r="AG501" i="4"/>
  <c r="AH501" i="4" s="1"/>
  <c r="AF501" i="4"/>
  <c r="AG546" i="4"/>
  <c r="AH546" i="4" s="1"/>
  <c r="AF546" i="4"/>
  <c r="AG413" i="4"/>
  <c r="AH413" i="4" s="1"/>
  <c r="AF413" i="4"/>
  <c r="AG556" i="4"/>
  <c r="AH556" i="4" s="1"/>
  <c r="AF556" i="4"/>
  <c r="AG91" i="4"/>
  <c r="AH91" i="4" s="1"/>
  <c r="AG400" i="4"/>
  <c r="AH400" i="4" s="1"/>
  <c r="AG441" i="4"/>
  <c r="AH441" i="4" s="1"/>
  <c r="AF441" i="4"/>
  <c r="AG326" i="4"/>
  <c r="AH326" i="4" s="1"/>
  <c r="AF326" i="4"/>
  <c r="AF202" i="4"/>
  <c r="AG202" i="4"/>
  <c r="AH202" i="4" s="1"/>
  <c r="AG540" i="4"/>
  <c r="AH540" i="4" s="1"/>
  <c r="AF540" i="4"/>
  <c r="AG395" i="4"/>
  <c r="AH395" i="4" s="1"/>
  <c r="AF395" i="4"/>
  <c r="AF40" i="4"/>
  <c r="AG40" i="4"/>
  <c r="AH40" i="4" s="1"/>
  <c r="AG283" i="4"/>
  <c r="AH283" i="4" s="1"/>
  <c r="AF283" i="4"/>
  <c r="AF353" i="4"/>
  <c r="AG353" i="4"/>
  <c r="AH353" i="4" s="1"/>
  <c r="AG15" i="4"/>
  <c r="AH15" i="4" s="1"/>
  <c r="AF15" i="4"/>
  <c r="AF351" i="4"/>
  <c r="AG351" i="4"/>
  <c r="AH351" i="4" s="1"/>
  <c r="AG454" i="4"/>
  <c r="AH454" i="4" s="1"/>
  <c r="AF454" i="4"/>
  <c r="AF54" i="4"/>
  <c r="AG542" i="4"/>
  <c r="AH542" i="4" s="1"/>
  <c r="AF542" i="4"/>
  <c r="AG235" i="4"/>
  <c r="AH235" i="4" s="1"/>
  <c r="AF235" i="4"/>
  <c r="AG159" i="4"/>
  <c r="AH159" i="4" s="1"/>
  <c r="AF159" i="4"/>
  <c r="AG354" i="4"/>
  <c r="AH354" i="4" s="1"/>
  <c r="AF354" i="4"/>
  <c r="AF61" i="5"/>
  <c r="AG61" i="5"/>
  <c r="AH61" i="5" s="1"/>
  <c r="AG242" i="4"/>
  <c r="AH242" i="4" s="1"/>
  <c r="AF242" i="4"/>
  <c r="AF199" i="4"/>
  <c r="AG199" i="4"/>
  <c r="AH199" i="4" s="1"/>
  <c r="AG385" i="4"/>
  <c r="AH385" i="4" s="1"/>
  <c r="AF385" i="4"/>
  <c r="AG29" i="5"/>
  <c r="AH29" i="5" s="1"/>
  <c r="AF29" i="5"/>
  <c r="AG16" i="5"/>
  <c r="AH16" i="5" s="1"/>
  <c r="AF16" i="5"/>
  <c r="AG75" i="4"/>
  <c r="AH75" i="4" s="1"/>
  <c r="AF75" i="4"/>
  <c r="AG147" i="4"/>
  <c r="AH147" i="4" s="1"/>
  <c r="AF147" i="4"/>
  <c r="AF170" i="4"/>
  <c r="AG170" i="4"/>
  <c r="AH170" i="4" s="1"/>
  <c r="AG451" i="4"/>
  <c r="AH451" i="4" s="1"/>
  <c r="AF451" i="4"/>
  <c r="AF89" i="4"/>
  <c r="AG89" i="4"/>
  <c r="AH89" i="4" s="1"/>
  <c r="AF57" i="4"/>
  <c r="AG57" i="4"/>
  <c r="AH57" i="4" s="1"/>
  <c r="AG157" i="4"/>
  <c r="AH157" i="4" s="1"/>
  <c r="AF157" i="4"/>
  <c r="AF130" i="4"/>
  <c r="AG130" i="4"/>
  <c r="AH130" i="4" s="1"/>
  <c r="AG478" i="4"/>
  <c r="AH478" i="4" s="1"/>
  <c r="AF478" i="4"/>
  <c r="AG428" i="4"/>
  <c r="AH428" i="4" s="1"/>
  <c r="AF428" i="4"/>
  <c r="AG422" i="4"/>
  <c r="AH422" i="4" s="1"/>
  <c r="AF422" i="4"/>
  <c r="AG373" i="4"/>
  <c r="AH373" i="4" s="1"/>
  <c r="AF373" i="4"/>
  <c r="AF70" i="5"/>
  <c r="AG70" i="5"/>
  <c r="AH70" i="5" s="1"/>
  <c r="AG92" i="4"/>
  <c r="AH92" i="4" s="1"/>
  <c r="AF92" i="4"/>
  <c r="AG512" i="4"/>
  <c r="AH512" i="4" s="1"/>
  <c r="AF512" i="4"/>
  <c r="AF371" i="4"/>
  <c r="AG371" i="4"/>
  <c r="AH371" i="4" s="1"/>
  <c r="AG431" i="4"/>
  <c r="AH431" i="4" s="1"/>
  <c r="AF431" i="4"/>
  <c r="AG366" i="4"/>
  <c r="AH366" i="4" s="1"/>
  <c r="AF366" i="4"/>
  <c r="AG251" i="4"/>
  <c r="AH251" i="4" s="1"/>
  <c r="AF251" i="4"/>
  <c r="AG530" i="4"/>
  <c r="AH530" i="4" s="1"/>
  <c r="AF530" i="4"/>
  <c r="AF429" i="4"/>
  <c r="AG429" i="4"/>
  <c r="AH429" i="4" s="1"/>
  <c r="AG79" i="4"/>
  <c r="AH79" i="4" s="1"/>
  <c r="AF79" i="4"/>
  <c r="AG440" i="4"/>
  <c r="AH440" i="4" s="1"/>
  <c r="AF440" i="4"/>
  <c r="AF437" i="4"/>
  <c r="AG437" i="4"/>
  <c r="AH437" i="4" s="1"/>
  <c r="AF295" i="4"/>
  <c r="AG265" i="4"/>
  <c r="AH265" i="4" s="1"/>
  <c r="AF265" i="4"/>
  <c r="AG201" i="4"/>
  <c r="AH201" i="4" s="1"/>
  <c r="AF201" i="4"/>
  <c r="AF544" i="4"/>
  <c r="AG544" i="4"/>
  <c r="AH544" i="4" s="1"/>
  <c r="AG192" i="4"/>
  <c r="AH192" i="4" s="1"/>
  <c r="AF192" i="4"/>
  <c r="AF173" i="4"/>
  <c r="AG173" i="4"/>
  <c r="AH173" i="4" s="1"/>
  <c r="AG237" i="4"/>
  <c r="AH237" i="4" s="1"/>
  <c r="AF237" i="4"/>
  <c r="AG48" i="4"/>
  <c r="AH48" i="4" s="1"/>
  <c r="AF48" i="4"/>
  <c r="AG198" i="4"/>
  <c r="AH198" i="4" s="1"/>
  <c r="AF198" i="4"/>
  <c r="AG210" i="4"/>
  <c r="AH210" i="4" s="1"/>
  <c r="AF210" i="4"/>
  <c r="AG267" i="4"/>
  <c r="AH267" i="4" s="1"/>
  <c r="AF267" i="4"/>
  <c r="AF36" i="4"/>
  <c r="AG36" i="4"/>
  <c r="AH36" i="4" s="1"/>
  <c r="AF340" i="4"/>
  <c r="AG340" i="4"/>
  <c r="AH340" i="4" s="1"/>
  <c r="AF43" i="5"/>
  <c r="AG43" i="5"/>
  <c r="AH43" i="5" s="1"/>
  <c r="AF329" i="4"/>
  <c r="AG329" i="4"/>
  <c r="AH329" i="4" s="1"/>
  <c r="AG311" i="4"/>
  <c r="AH311" i="4" s="1"/>
  <c r="AF311" i="4"/>
  <c r="AG551" i="4"/>
  <c r="AH551" i="4" s="1"/>
  <c r="AF551" i="4"/>
  <c r="AG31" i="4"/>
  <c r="AH31" i="4" s="1"/>
  <c r="AF31" i="4"/>
  <c r="AG466" i="4"/>
  <c r="AH466" i="4" s="1"/>
  <c r="AF466" i="4"/>
  <c r="AG414" i="4"/>
  <c r="AH414" i="4" s="1"/>
  <c r="AF414" i="4"/>
  <c r="AG189" i="4"/>
  <c r="AH189" i="4" s="1"/>
  <c r="AF189" i="4"/>
  <c r="AG410" i="4"/>
  <c r="AH410" i="4" s="1"/>
  <c r="AF410" i="4"/>
  <c r="AG282" i="4"/>
  <c r="AH282" i="4" s="1"/>
  <c r="AF282" i="4"/>
  <c r="AG303" i="4"/>
  <c r="AH303" i="4" s="1"/>
  <c r="AF303" i="4"/>
  <c r="AF177" i="4"/>
  <c r="AG177" i="4"/>
  <c r="AH177" i="4" s="1"/>
  <c r="AG9" i="5"/>
  <c r="AH9" i="5" s="1"/>
  <c r="AF9" i="5"/>
  <c r="AF499" i="4"/>
  <c r="AG499" i="4"/>
  <c r="AH499" i="4" s="1"/>
  <c r="AF266" i="4"/>
  <c r="AG266" i="4"/>
  <c r="AH266" i="4" s="1"/>
  <c r="AF34" i="4"/>
  <c r="AG34" i="4"/>
  <c r="AH34" i="4" s="1"/>
  <c r="AG233" i="4"/>
  <c r="AH233" i="4" s="1"/>
  <c r="AG13" i="5"/>
  <c r="AH13" i="5" s="1"/>
  <c r="AG450" i="4"/>
  <c r="AH450" i="4" s="1"/>
  <c r="AF450" i="4"/>
  <c r="AF217" i="4"/>
  <c r="AG217" i="4"/>
  <c r="AH217" i="4" s="1"/>
  <c r="AG281" i="4"/>
  <c r="AH281" i="4" s="1"/>
  <c r="AF281" i="4"/>
  <c r="AF302" i="4"/>
  <c r="AG302" i="4"/>
  <c r="AH302" i="4" s="1"/>
  <c r="AG464" i="4"/>
  <c r="AH464" i="4" s="1"/>
  <c r="AF464" i="4"/>
  <c r="AG377" i="4"/>
  <c r="AH377" i="4" s="1"/>
  <c r="AF377" i="4"/>
  <c r="AF227" i="4"/>
  <c r="AG227" i="4"/>
  <c r="AH227" i="4" s="1"/>
  <c r="AG386" i="4"/>
  <c r="AH386" i="4" s="1"/>
  <c r="AF386" i="4"/>
  <c r="AF144" i="4"/>
  <c r="AG144" i="4"/>
  <c r="AH144" i="4" s="1"/>
  <c r="AF280" i="4" l="1"/>
  <c r="AF256" i="4"/>
  <c r="AG220" i="4"/>
  <c r="AH220" i="4" s="1"/>
  <c r="AF472" i="4"/>
  <c r="AG482" i="4"/>
  <c r="AH482" i="4" s="1"/>
  <c r="AF548" i="4"/>
  <c r="AG313" i="4"/>
  <c r="AH313" i="4" s="1"/>
  <c r="AF531" i="4"/>
  <c r="AF158" i="4"/>
  <c r="AF226" i="4"/>
  <c r="AG330" i="4"/>
  <c r="AH330" i="4" s="1"/>
  <c r="AF318" i="4"/>
  <c r="AG288" i="4"/>
  <c r="AH288" i="4" s="1"/>
  <c r="AG136" i="4"/>
  <c r="AH136" i="4" s="1"/>
  <c r="AF274" i="4"/>
  <c r="AG458" i="4"/>
  <c r="AH458" i="4" s="1"/>
  <c r="AG379" i="4"/>
  <c r="AH379" i="4" s="1"/>
  <c r="AG151" i="4"/>
  <c r="AH151" i="4" s="1"/>
  <c r="AG524" i="4"/>
  <c r="AH524" i="4" s="1"/>
  <c r="AG128" i="4"/>
  <c r="AH128" i="4" s="1"/>
  <c r="AG445" i="4"/>
  <c r="AH445" i="4" s="1"/>
  <c r="AF28" i="5"/>
  <c r="AF188" i="4"/>
  <c r="AF195" i="4"/>
  <c r="AG462" i="4"/>
  <c r="AH462" i="4" s="1"/>
  <c r="AG435" i="4"/>
  <c r="AH435" i="4" s="1"/>
  <c r="AF527" i="4"/>
  <c r="AG308" i="4"/>
  <c r="AH308" i="4" s="1"/>
  <c r="AF314" i="4"/>
  <c r="AF331" i="4"/>
  <c r="AG555" i="4"/>
  <c r="AH555" i="4" s="1"/>
  <c r="AF176" i="4"/>
  <c r="AF374" i="4"/>
  <c r="AG108" i="4"/>
  <c r="AH108" i="4" s="1"/>
  <c r="AF131" i="4"/>
  <c r="AG8" i="4"/>
  <c r="AH8" i="4" s="1"/>
  <c r="AF12" i="4"/>
  <c r="AG315" i="4"/>
  <c r="AH315" i="4" s="1"/>
  <c r="AF59" i="4"/>
  <c r="AF63" i="4"/>
  <c r="AF113" i="4"/>
  <c r="AF312" i="4"/>
  <c r="AF487" i="4"/>
  <c r="AG301" i="4"/>
  <c r="AH301" i="4" s="1"/>
  <c r="AF247" i="4"/>
  <c r="AF68" i="4"/>
  <c r="AG500" i="4"/>
  <c r="AH500" i="4" s="1"/>
  <c r="AF461" i="4"/>
  <c r="AG82" i="4"/>
  <c r="AH82" i="4" s="1"/>
  <c r="AF35" i="4"/>
  <c r="AF13" i="4"/>
  <c r="AF388" i="4"/>
  <c r="AG243" i="4"/>
  <c r="AH243" i="4" s="1"/>
  <c r="AF335" i="4"/>
  <c r="AF394" i="4"/>
  <c r="AF290" i="4"/>
  <c r="AF488" i="4"/>
  <c r="AF490" i="4"/>
  <c r="AG463" i="4"/>
  <c r="AH463" i="4" s="1"/>
  <c r="AF304" i="4"/>
  <c r="AF172" i="4"/>
  <c r="AG174" i="4"/>
  <c r="AH174" i="4" s="1"/>
  <c r="AF259" i="4"/>
  <c r="AF257" i="4"/>
  <c r="AG139" i="4"/>
  <c r="AH139" i="4" s="1"/>
  <c r="AF64" i="4"/>
  <c r="AF294" i="4"/>
  <c r="AG278" i="4"/>
  <c r="AH278" i="4" s="1"/>
  <c r="AG513" i="4"/>
  <c r="AH513" i="4" s="1"/>
  <c r="AG470" i="4"/>
  <c r="AH470" i="4" s="1"/>
  <c r="AG122" i="4"/>
  <c r="AH122" i="4" s="1"/>
  <c r="AF163" i="4"/>
  <c r="AF164" i="4"/>
  <c r="AF522" i="4"/>
  <c r="AG33" i="4"/>
  <c r="AH33" i="4" s="1"/>
  <c r="AG229" i="4"/>
  <c r="AH229" i="4" s="1"/>
  <c r="AF74" i="4"/>
  <c r="AF447" i="4"/>
  <c r="AF221" i="4"/>
  <c r="AF203" i="4"/>
  <c r="AG334" i="4"/>
  <c r="AH334" i="4" s="1"/>
  <c r="AG391" i="4"/>
  <c r="AH391" i="4" s="1"/>
  <c r="AF88" i="4"/>
  <c r="AG10" i="4"/>
  <c r="AH10" i="4" s="1"/>
  <c r="AG370" i="4"/>
  <c r="AH370" i="4" s="1"/>
  <c r="AG47" i="5"/>
  <c r="AH47" i="5" s="1"/>
  <c r="AG77" i="4"/>
  <c r="AH77" i="4" s="1"/>
  <c r="AF11" i="4"/>
  <c r="AG49" i="4"/>
  <c r="AH49" i="4" s="1"/>
  <c r="AG536" i="4"/>
  <c r="AH536" i="4" s="1"/>
  <c r="AF310" i="4"/>
  <c r="AG253" i="4"/>
  <c r="AH253" i="4" s="1"/>
  <c r="AG23" i="4"/>
  <c r="AH23" i="4" s="1"/>
  <c r="AG349" i="4"/>
  <c r="AH349" i="4" s="1"/>
  <c r="AG105" i="4"/>
  <c r="AH105" i="4" s="1"/>
  <c r="AF190" i="4"/>
  <c r="AG179" i="4"/>
  <c r="AH179" i="4" s="1"/>
  <c r="AG96" i="4"/>
  <c r="AH96" i="4" s="1"/>
  <c r="AF106" i="4"/>
  <c r="AG209" i="4"/>
  <c r="AH209" i="4" s="1"/>
  <c r="AG514" i="4"/>
  <c r="AH514" i="4" s="1"/>
  <c r="AG155" i="4"/>
  <c r="AH155" i="4" s="1"/>
  <c r="AF245" i="4"/>
  <c r="AG364" i="4"/>
  <c r="AH364" i="4" s="1"/>
  <c r="AF222" i="4"/>
  <c r="AF18" i="4"/>
  <c r="AG63" i="5"/>
  <c r="AH63" i="5" s="1"/>
  <c r="AF336" i="4"/>
  <c r="AF284" i="4"/>
  <c r="AF153" i="4"/>
  <c r="AF397" i="4"/>
  <c r="AG421" i="4"/>
  <c r="AH421" i="4" s="1"/>
  <c r="AF325" i="4"/>
  <c r="AG408" i="4"/>
  <c r="AH408" i="4" s="1"/>
  <c r="AF184" i="4"/>
  <c r="AG47" i="4"/>
  <c r="AH47" i="4" s="1"/>
  <c r="AF518" i="4"/>
  <c r="AF34" i="5"/>
  <c r="AG125" i="4"/>
  <c r="AH125" i="4" s="1"/>
  <c r="AG545" i="4"/>
  <c r="AH545" i="4" s="1"/>
  <c r="AG249" i="4"/>
  <c r="AH249" i="4" s="1"/>
  <c r="AG182" i="4"/>
  <c r="AH182" i="4" s="1"/>
  <c r="AG52" i="4"/>
  <c r="AH52" i="4" s="1"/>
  <c r="AG117" i="4"/>
  <c r="AH117" i="4" s="1"/>
  <c r="AG262" i="4"/>
  <c r="AH262" i="4" s="1"/>
  <c r="AF348" i="4"/>
  <c r="AF104" i="4"/>
  <c r="AG541" i="4"/>
  <c r="AH541" i="4" s="1"/>
  <c r="AG86" i="4"/>
  <c r="AH86" i="4" s="1"/>
  <c r="AG126" i="4"/>
  <c r="AH126" i="4" s="1"/>
  <c r="AF412" i="4"/>
  <c r="AF292" i="4"/>
  <c r="AG193" i="4"/>
  <c r="AH193" i="4" s="1"/>
  <c r="AF187" i="4"/>
  <c r="AG367" i="4"/>
  <c r="AH367" i="4" s="1"/>
  <c r="AF76" i="4"/>
  <c r="AF323" i="4"/>
  <c r="AG535" i="4"/>
  <c r="AH535" i="4" s="1"/>
  <c r="AF224" i="4"/>
  <c r="AG15" i="5"/>
  <c r="AH15" i="5" s="1"/>
  <c r="AG449" i="4"/>
  <c r="AH449" i="4" s="1"/>
  <c r="AG452" i="4"/>
  <c r="AH452" i="4" s="1"/>
  <c r="AF355" i="4"/>
  <c r="AF507" i="4"/>
  <c r="AG387" i="4"/>
  <c r="AH387" i="4" s="1"/>
  <c r="AG32" i="5"/>
  <c r="AH32" i="5" s="1"/>
  <c r="AF118" i="4"/>
  <c r="AG338" i="4"/>
  <c r="AH338" i="4" s="1"/>
  <c r="AG58" i="4"/>
  <c r="AH58" i="4" s="1"/>
  <c r="AG264" i="4"/>
  <c r="AH264" i="4" s="1"/>
  <c r="AF32" i="4"/>
  <c r="AG528" i="4"/>
  <c r="AH528" i="4" s="1"/>
  <c r="AG401" i="4"/>
  <c r="AH401" i="4" s="1"/>
  <c r="AF416" i="4"/>
  <c r="AF475" i="4"/>
  <c r="AG289" i="4"/>
  <c r="AH289" i="4" s="1"/>
  <c r="AG529" i="4"/>
  <c r="AH529" i="4" s="1"/>
  <c r="AG549" i="4"/>
  <c r="AH549" i="4" s="1"/>
  <c r="AF119" i="4"/>
  <c r="AF506" i="4"/>
  <c r="AF38" i="4"/>
  <c r="AF317" i="4"/>
  <c r="AF17" i="4"/>
  <c r="AF94" i="4"/>
  <c r="AG166" i="4"/>
  <c r="AH166" i="4" s="1"/>
  <c r="AF424" i="4"/>
  <c r="AG124" i="4"/>
  <c r="AH124" i="4" s="1"/>
  <c r="AG12" i="5"/>
  <c r="AH12" i="5" s="1"/>
  <c r="AF38" i="5"/>
  <c r="AF254" i="4"/>
  <c r="AF393" i="4"/>
  <c r="AG9" i="4"/>
  <c r="AH9" i="4" s="1"/>
  <c r="AF215" i="4"/>
  <c r="AF359" i="4"/>
  <c r="AF211" i="4"/>
  <c r="AF142" i="4"/>
  <c r="AF143" i="4"/>
  <c r="AF481" i="4"/>
  <c r="AF51" i="4"/>
  <c r="AF114" i="4"/>
  <c r="AG547" i="4"/>
  <c r="AH547" i="4" s="1"/>
  <c r="AF277" i="4"/>
  <c r="AF246" i="4"/>
  <c r="AF343" i="4"/>
  <c r="AF123" i="4"/>
  <c r="AG286" i="4"/>
  <c r="AH286" i="4" s="1"/>
  <c r="AF443" i="4"/>
  <c r="AF511" i="4"/>
  <c r="AG406" i="4"/>
  <c r="AH406" i="4" s="1"/>
  <c r="AG553" i="4"/>
  <c r="AH553" i="4" s="1"/>
  <c r="AF411" i="4"/>
  <c r="AF205" i="4"/>
  <c r="AF236" i="4"/>
  <c r="AF101" i="4"/>
  <c r="AG167" i="4"/>
  <c r="AH167" i="4" s="1"/>
  <c r="AG175" i="4"/>
  <c r="AH175" i="4" s="1"/>
  <c r="AG69" i="4"/>
  <c r="AH69" i="4" s="1"/>
  <c r="AF112" i="4"/>
  <c r="AF446" i="4"/>
  <c r="AF291" i="4"/>
  <c r="AG275" i="4"/>
  <c r="AH275" i="4" s="1"/>
  <c r="AG22" i="5"/>
  <c r="AH22" i="5" s="1"/>
  <c r="AF543" i="4"/>
  <c r="AF98" i="4"/>
  <c r="AF309" i="4"/>
  <c r="AF50" i="5"/>
  <c r="AF381" i="4"/>
  <c r="AF396" i="4"/>
  <c r="AG248" i="4"/>
  <c r="AH248" i="4" s="1"/>
  <c r="AG268" i="4"/>
  <c r="AH268" i="4" s="1"/>
  <c r="AF231" i="4"/>
  <c r="AG239" i="4"/>
  <c r="AH239" i="4" s="1"/>
  <c r="AG368" i="4"/>
  <c r="AH368" i="4" s="1"/>
  <c r="AF328" i="4"/>
  <c r="AG485" i="4"/>
  <c r="AH485" i="4" s="1"/>
  <c r="AF21" i="4"/>
  <c r="AF25" i="4"/>
  <c r="AF160" i="4"/>
  <c r="AG378" i="4"/>
  <c r="AH378" i="4" s="1"/>
  <c r="AF279" i="4"/>
  <c r="AG240" i="4"/>
  <c r="AH240" i="4" s="1"/>
  <c r="AG398" i="4"/>
  <c r="AH398" i="4" s="1"/>
  <c r="AG60" i="4"/>
  <c r="AH60" i="4" s="1"/>
  <c r="AF521" i="4"/>
  <c r="AF138" i="4"/>
  <c r="AF194" i="4"/>
  <c r="AF162" i="4"/>
  <c r="AG16" i="4"/>
  <c r="AH16" i="4" s="1"/>
  <c r="AG49" i="5"/>
  <c r="AH49" i="5" s="1"/>
  <c r="AF121" i="4"/>
  <c r="AF241" i="4"/>
  <c r="AF95" i="4"/>
  <c r="AF216" i="4"/>
  <c r="AF380" i="4"/>
  <c r="AG71" i="4"/>
  <c r="AH71" i="4" s="1"/>
  <c r="AF185" i="4"/>
  <c r="AF102" i="4"/>
  <c r="AF44" i="5"/>
  <c r="AF467" i="4"/>
  <c r="AG20" i="5"/>
  <c r="AH20" i="5" s="1"/>
  <c r="AG110" i="4"/>
  <c r="AH110" i="4" s="1"/>
  <c r="AG270" i="4"/>
  <c r="AH270" i="4" s="1"/>
  <c r="AF273" i="4"/>
  <c r="AG20" i="4"/>
  <c r="AH20" i="4" s="1"/>
  <c r="AG456" i="4"/>
  <c r="AH456" i="4" s="1"/>
  <c r="AF438" i="4"/>
  <c r="AG181" i="4"/>
  <c r="AH181" i="4" s="1"/>
  <c r="AF444" i="4"/>
  <c r="AG183" i="4"/>
  <c r="AH183" i="4" s="1"/>
  <c r="AF107" i="4"/>
  <c r="AF219" i="4"/>
  <c r="AG460" i="4"/>
  <c r="AH460" i="4" s="1"/>
  <c r="AG65" i="4"/>
  <c r="AH65" i="4" s="1"/>
  <c r="AG502" i="4"/>
  <c r="AH502" i="4" s="1"/>
  <c r="AF333" i="4"/>
  <c r="AG50" i="4"/>
  <c r="AH50" i="4" s="1"/>
  <c r="AF342" i="4"/>
  <c r="AF115" i="4"/>
  <c r="AF140" i="4"/>
  <c r="AF322" i="4"/>
  <c r="AF439" i="4"/>
  <c r="AF168" i="4"/>
  <c r="AF269" i="4"/>
  <c r="AF100" i="4"/>
  <c r="AG495" i="4"/>
  <c r="AH495" i="4" s="1"/>
  <c r="AF255" i="4"/>
  <c r="AF523" i="4"/>
  <c r="AF26" i="4"/>
  <c r="AF423" i="4"/>
  <c r="AF67" i="4"/>
  <c r="AF40" i="5"/>
  <c r="AF491" i="4"/>
  <c r="AF213" i="4"/>
  <c r="AF43" i="4"/>
  <c r="AG332" i="4"/>
  <c r="AH332" i="4" s="1"/>
  <c r="AG148" i="4"/>
  <c r="AH148" i="4" s="1"/>
  <c r="AF320" i="4"/>
  <c r="AG55" i="5"/>
  <c r="AH55" i="5" s="1"/>
  <c r="AF533" i="4"/>
  <c r="AG471" i="4"/>
  <c r="AH471" i="4" s="1"/>
  <c r="AG503" i="4"/>
  <c r="AH503" i="4" s="1"/>
  <c r="AF357" i="4"/>
  <c r="AG36" i="5"/>
  <c r="AH36" i="5" s="1"/>
  <c r="AF365" i="4"/>
  <c r="AF197" i="4"/>
  <c r="AF426" i="4"/>
  <c r="AF81" i="4"/>
  <c r="AF300" i="4"/>
  <c r="AG87" i="4"/>
  <c r="AH87" i="4" s="1"/>
  <c r="AG244" i="4"/>
  <c r="AH244" i="4" s="1"/>
  <c r="AG390" i="4"/>
  <c r="AH390" i="4" s="1"/>
  <c r="AF480" i="4"/>
  <c r="AF146" i="4"/>
  <c r="AG496" i="4"/>
  <c r="AH496" i="4" s="1"/>
  <c r="AG23" i="5"/>
  <c r="AH23" i="5" s="1"/>
  <c r="AG554" i="4"/>
  <c r="AH554" i="4" s="1"/>
  <c r="AG285" i="4"/>
  <c r="AH285" i="4" s="1"/>
  <c r="AG519" i="4"/>
  <c r="AH519" i="4" s="1"/>
  <c r="AF28" i="4"/>
  <c r="AF432" i="4"/>
  <c r="AG552" i="4"/>
  <c r="AH552" i="4" s="1"/>
  <c r="AG141" i="4"/>
  <c r="AH141" i="4" s="1"/>
  <c r="AG260" i="4"/>
  <c r="AH260" i="4" s="1"/>
  <c r="AF137" i="4"/>
  <c r="AF516" i="4"/>
  <c r="AF417" i="4"/>
  <c r="AG345" i="4"/>
  <c r="AH345" i="4" s="1"/>
  <c r="AG99" i="4"/>
  <c r="AH99" i="4" s="1"/>
  <c r="AG24" i="4"/>
  <c r="AH24" i="4" s="1"/>
  <c r="AF26" i="5"/>
  <c r="AF68" i="5"/>
  <c r="AF538" i="4"/>
  <c r="AG150" i="4"/>
  <c r="AH150" i="4" s="1"/>
  <c r="AF526" i="4"/>
  <c r="AF29" i="4"/>
  <c r="AG409" i="4"/>
  <c r="AH409" i="4" s="1"/>
  <c r="AF492" i="4"/>
  <c r="AG372" i="4"/>
  <c r="AH372" i="4" s="1"/>
  <c r="AF361" i="4"/>
  <c r="AF83" i="4"/>
  <c r="AG252" i="4"/>
  <c r="AH252" i="4" s="1"/>
  <c r="AF515" i="4"/>
  <c r="AF41" i="4"/>
  <c r="AG232" i="4"/>
  <c r="AH232" i="4" s="1"/>
  <c r="AG42" i="4"/>
  <c r="AH42" i="4" s="1"/>
  <c r="AF238" i="4"/>
  <c r="AF306" i="4"/>
  <c r="AG223" i="4"/>
  <c r="AH223" i="4" s="1"/>
  <c r="AF135" i="4"/>
  <c r="AG78" i="4"/>
  <c r="AH78" i="4" s="1"/>
  <c r="AF25" i="5"/>
  <c r="AG103" i="4"/>
  <c r="AH103" i="4" s="1"/>
  <c r="AG250" i="4"/>
  <c r="AH250" i="4" s="1"/>
  <c r="AG448" i="4"/>
  <c r="AH448" i="4" s="1"/>
  <c r="AG66" i="4"/>
  <c r="AH66" i="4" s="1"/>
  <c r="AG287" i="4"/>
  <c r="AH287" i="4" s="1"/>
  <c r="AG299" i="4"/>
  <c r="AH299" i="4" s="1"/>
  <c r="AF344" i="4"/>
  <c r="AG230" i="4"/>
  <c r="AH230" i="4" s="1"/>
  <c r="AG67" i="5"/>
  <c r="AH67" i="5" s="1"/>
  <c r="AG276" i="4"/>
  <c r="AH276" i="4" s="1"/>
  <c r="AG37" i="5"/>
  <c r="AH37" i="5" s="1"/>
  <c r="AF537" i="4"/>
  <c r="AF42" i="5"/>
  <c r="AF8" i="5"/>
  <c r="AF434" i="4"/>
  <c r="AG84" i="4"/>
  <c r="AH84" i="4" s="1"/>
  <c r="AG305" i="4"/>
  <c r="AH305" i="4" s="1"/>
  <c r="AG161" i="4"/>
  <c r="AH161" i="4" s="1"/>
  <c r="AG550" i="4"/>
  <c r="AH550" i="4" s="1"/>
  <c r="AG97" i="4"/>
  <c r="AH97" i="4" s="1"/>
  <c r="AF74" i="5"/>
  <c r="AF62" i="4"/>
  <c r="AF132" i="4"/>
  <c r="AF297" i="4"/>
  <c r="AG116" i="4"/>
  <c r="AH116" i="4" s="1"/>
  <c r="AG498" i="4"/>
  <c r="AH498" i="4" s="1"/>
  <c r="AG476" i="4"/>
  <c r="AH476" i="4" s="1"/>
  <c r="AG352" i="4"/>
  <c r="AH352" i="4" s="1"/>
  <c r="AG120" i="4"/>
  <c r="AH120" i="4" s="1"/>
  <c r="AF55" i="4"/>
  <c r="AG76" i="5"/>
  <c r="AH76" i="5" s="1"/>
  <c r="AG31" i="5"/>
  <c r="AH31" i="5" s="1"/>
  <c r="AG30" i="5"/>
  <c r="AH30" i="5" s="1"/>
  <c r="AG54" i="5"/>
  <c r="AH54" i="5" s="1"/>
  <c r="AF46" i="4"/>
  <c r="AG196" i="4"/>
  <c r="AH196" i="4" s="1"/>
  <c r="AF22" i="4"/>
  <c r="AG156" i="4"/>
  <c r="AH156" i="4" s="1"/>
  <c r="AF73" i="4"/>
  <c r="AG415" i="4"/>
  <c r="AH415" i="4" s="1"/>
  <c r="AG61" i="4"/>
  <c r="AH61" i="4" s="1"/>
  <c r="AG455" i="4"/>
  <c r="AH455" i="4" s="1"/>
  <c r="AG152" i="4"/>
  <c r="AH152" i="4" s="1"/>
  <c r="AG497" i="4"/>
  <c r="AH497" i="4" s="1"/>
  <c r="AF21" i="5"/>
  <c r="AG7" i="4"/>
  <c r="AH7" i="4" s="1"/>
  <c r="AF46" i="5"/>
  <c r="AF77" i="5"/>
  <c r="AG18" i="5"/>
  <c r="AH18" i="5" s="1"/>
  <c r="AG39" i="5"/>
  <c r="AH39" i="5" s="1"/>
  <c r="AF78" i="5"/>
  <c r="AF19" i="5"/>
  <c r="AF27" i="5"/>
  <c r="B41" i="18" l="1"/>
  <c r="B44" i="18" s="1"/>
  <c r="B51" i="18"/>
  <c r="B55" i="18" s="1"/>
  <c r="B58" i="18" s="1"/>
</calcChain>
</file>

<file path=xl/sharedStrings.xml><?xml version="1.0" encoding="utf-8"?>
<sst xmlns="http://schemas.openxmlformats.org/spreadsheetml/2006/main" count="4336" uniqueCount="1227">
  <si>
    <t>Entry</t>
  </si>
  <si>
    <t>Exit</t>
  </si>
  <si>
    <t>BERGEN OP ZOOM (PHILLIP MORRIS HOLLAND)</t>
  </si>
  <si>
    <t>PERNIS (WILMAR)</t>
  </si>
  <si>
    <t>PERNIS (KOOLE)</t>
  </si>
  <si>
    <t>Inflatie van investeringsjaar naar…</t>
  </si>
  <si>
    <t>Jaarlijkse afschrijving met inflatie</t>
  </si>
  <si>
    <t xml:space="preserve">Jaarlijkse cpi </t>
  </si>
  <si>
    <t>Cpi-tabel</t>
  </si>
  <si>
    <t>naar:</t>
  </si>
  <si>
    <t>CPI overzicht</t>
  </si>
  <si>
    <t>WACC</t>
  </si>
  <si>
    <t>X-factoren</t>
  </si>
  <si>
    <t>Input</t>
  </si>
  <si>
    <t>Parameters</t>
  </si>
  <si>
    <t>Totaal 2013</t>
  </si>
  <si>
    <t>Kwaliteitsconversie</t>
  </si>
  <si>
    <t>PG OOSTBETUWE (LIANDER)</t>
  </si>
  <si>
    <t>PG HOORN (LIANDER)</t>
  </si>
  <si>
    <t>BERGERMEER (TAQA-UGS)</t>
  </si>
  <si>
    <t>WIERINGERMEER (ENRGIE COMB. W'MEER-RNB)</t>
  </si>
  <si>
    <t>DEN HAAG (HTM)</t>
  </si>
  <si>
    <t>NIEUW HINKELOORD (DELTA-ZBL)</t>
  </si>
  <si>
    <t>SCHOONEBEEK (NAM)</t>
  </si>
  <si>
    <t>BUDEL (NEDZINK BV)</t>
  </si>
  <si>
    <t>MAASTRICHT (KONINKLIJKE MOSA BV)</t>
  </si>
  <si>
    <t>BLERICK (NEDRI SPANSTAAL BV)</t>
  </si>
  <si>
    <t>SWALMEN (CARGILL BV MALT DIVISION)</t>
  </si>
  <si>
    <t>EINDHOVEN (DAF TRUCKS NV)</t>
  </si>
  <si>
    <t>EMMEN (EMMTEC SERVICES BV)</t>
  </si>
  <si>
    <t>FRANEKER (HUHTAMAKI NL BV)</t>
  </si>
  <si>
    <t>FOXHOL (AVEBE BA)</t>
  </si>
  <si>
    <t>EERBEEK (MAYR-MELNHOF EERBEEK BV)</t>
  </si>
  <si>
    <t>HILVARENBEEK (FLUXYS)</t>
  </si>
  <si>
    <t>VLIEGHUIS (RWE)</t>
  </si>
  <si>
    <t>S-GRAVENVOEREN (FLUXYS)</t>
  </si>
  <si>
    <t>BALGZAND (NAM-HC)</t>
  </si>
  <si>
    <t>BALGZAND (NAM-LC)</t>
  </si>
  <si>
    <t>BALGZAND (NAM-NOGAT)</t>
  </si>
  <si>
    <t>BOTLEK (ESSO FLEXICOKER)</t>
  </si>
  <si>
    <t>GARIJP (VERMILION ENERGY)</t>
  </si>
  <si>
    <t>GRIJPSKERK (NAM)</t>
  </si>
  <si>
    <t>HARLINGEN (VERMILION ENERGY)</t>
  </si>
  <si>
    <t>MIDDENMEER (VERMILION ENERGY)</t>
  </si>
  <si>
    <t>VRIES (NAM)</t>
  </si>
  <si>
    <t>ZELZATE (FLUXYS)</t>
  </si>
  <si>
    <t>ALKMAAR (TAQA)</t>
  </si>
  <si>
    <t>VLIEGHUIS (RWE-UGS KALLE)</t>
  </si>
  <si>
    <t>ENSCHEDE (NUON-UGS EPE)</t>
  </si>
  <si>
    <t>OUDE STATENZIJL (EWE-H)</t>
  </si>
  <si>
    <t>TILBURG (AGRISTO BV)</t>
  </si>
  <si>
    <t>GELDROP (ENEXIS)</t>
  </si>
  <si>
    <t>ROOSENDAAL (ENEXIS)</t>
  </si>
  <si>
    <t>ZEVENBERGEN (ENEXIS)</t>
  </si>
  <si>
    <t>MAARHEEZE (PHILIPS LIGHTING BV)</t>
  </si>
  <si>
    <t>MAASTRICHT (STF. GEBR. KLINKERS BV)</t>
  </si>
  <si>
    <t>BUDEL (NYRSTAR BV)</t>
  </si>
  <si>
    <t>MAASTRICHT (ENCI BV)</t>
  </si>
  <si>
    <t>DONGEN (TROBAS GELATINE BV)</t>
  </si>
  <si>
    <t>MAASTRICHT (O-I MANUFACTURING NL BV)</t>
  </si>
  <si>
    <t>BEESEL (ST. JORIS KERAMISCHE IND. BV)</t>
  </si>
  <si>
    <t>KESSEL (KLEIWARENFABRIEK JOOSTEN BV)</t>
  </si>
  <si>
    <t>EYGELSHOVEN (STF. NIEVELSTEEN BV)</t>
  </si>
  <si>
    <t>TEGELEN (WIENERBERGER JANSSEN DINGS)</t>
  </si>
  <si>
    <t>WEERT (ROTO SMEETS BV)</t>
  </si>
  <si>
    <t>BORN (NEDCAR BV)</t>
  </si>
  <si>
    <t>MAASTRICHT (ANKERPOORT)</t>
  </si>
  <si>
    <t>OSS (BALL PACKAGING EUROPE BV)</t>
  </si>
  <si>
    <t>WIJHE (MEESTER STEGEMAN CV)</t>
  </si>
  <si>
    <t>PEIZE (ENEXIS)</t>
  </si>
  <si>
    <t>JOURE (DOUWE EGBERTS CT-S BV)</t>
  </si>
  <si>
    <t>ANGEREN (STF. HUISSENSWAARD BV)</t>
  </si>
  <si>
    <t>VROOMSHOOP (NCO)</t>
  </si>
  <si>
    <t>PANNERDEN (WIENERBERGER KIJFWAARD OOST)</t>
  </si>
  <si>
    <t>LOBITH (WAALSTF. DE BYLANDT BV)</t>
  </si>
  <si>
    <t>NIJVERDAL/HELLENDOORN (ENEXIS)</t>
  </si>
  <si>
    <t>VRIEZENVEEN (NCO)</t>
  </si>
  <si>
    <t>DELFZIJL (PPG INDUSTRIES CHEMICALS BV)</t>
  </si>
  <si>
    <t>APELDOORN (KIWA GASTEC NV)</t>
  </si>
  <si>
    <t>NEEDE (DAWO EPS BV)</t>
  </si>
  <si>
    <t>OLDENZAAL (NCO)</t>
  </si>
  <si>
    <t>HENGELO (AKZO NOBEL ENERGIE BV)</t>
  </si>
  <si>
    <t>COEVORDEN (RENDO)</t>
  </si>
  <si>
    <t>WINSCHOTEN (PHILIPS LIGHTING BV)</t>
  </si>
  <si>
    <t>DELFZIJL (DOW BENELUX BV)</t>
  </si>
  <si>
    <t>BALKBRUG (RENDO)</t>
  </si>
  <si>
    <t>SAPPEMEER (ESKA GRAPHIC BOARD BV)</t>
  </si>
  <si>
    <t>MILLINGEN A/D RIJN (LIANDER)</t>
  </si>
  <si>
    <t>NUNSPEET (LIANDER)</t>
  </si>
  <si>
    <t>NES (STEDIN)</t>
  </si>
  <si>
    <t>SCHOONEBEEK (DSM RESINS BV)</t>
  </si>
  <si>
    <t>ERLECOM (WIENERBERGER ERLECOM)</t>
  </si>
  <si>
    <t>DRACHTEN (FENNER DUNLOP BV)</t>
  </si>
  <si>
    <t>HOOGEZAND (ESKA GRAPHIC BOARD BV)</t>
  </si>
  <si>
    <t>AZEWIJN (STF. DE NIJVERHEID BV)</t>
  </si>
  <si>
    <t>MALDEN (LIANDER)</t>
  </si>
  <si>
    <t>VIERVERLATEN (SUIKERUNIE)</t>
  </si>
  <si>
    <t>DINXPERLO (LIANDER)</t>
  </si>
  <si>
    <t>NORG (ENEXIS)</t>
  </si>
  <si>
    <t>DEVENTER (AKZO NOBEL POLYMER CHEM. BV)</t>
  </si>
  <si>
    <t>Wheeling</t>
  </si>
  <si>
    <t>Connection</t>
  </si>
  <si>
    <t>Diversion</t>
  </si>
  <si>
    <t>ANJUM (NAM)</t>
  </si>
  <si>
    <t>ANNERVEEN (NAM)</t>
  </si>
  <si>
    <t>HERTEN (SOLVAY CHEMIE BV)</t>
  </si>
  <si>
    <t>CUYK (NUTRICIA BV)</t>
  </si>
  <si>
    <t>HELMOND (VLISCO BV)</t>
  </si>
  <si>
    <t>SON (RENDAC BV)</t>
  </si>
  <si>
    <t>APELDOORN (OWENS CORNING VEIL NL BV)</t>
  </si>
  <si>
    <t>HARDERWIJK (KALKZANDSTF. HARDERWIJK BV)</t>
  </si>
  <si>
    <t>GIESBEEK (LIANDER)</t>
  </si>
  <si>
    <t>LOSSER (ENEXIS)</t>
  </si>
  <si>
    <t>ENTER (NCO)</t>
  </si>
  <si>
    <t>ZUTPHEN PARKSTRAAT (LIANDER)</t>
  </si>
  <si>
    <t>DOETINCHEM (PAPIERFABRIEK DOETINCHEM BV)</t>
  </si>
  <si>
    <t>OUDE PEKELA (STRATING STEENINDUSTRIE BV)</t>
  </si>
  <si>
    <t>GEESBRUG (RENDO)</t>
  </si>
  <si>
    <t>RIJSSEN (ENEXIS)</t>
  </si>
  <si>
    <t>GENDT (STF. DE ZANDBERG BV)</t>
  </si>
  <si>
    <t>EERBEEK (SCA DE HOOP ENERGIE BV)</t>
  </si>
  <si>
    <t>SPIJK (LIANDER)</t>
  </si>
  <si>
    <t>ZUTPHEN DE HOVEN (LIANDER)</t>
  </si>
  <si>
    <t>VEENDAM (NEDMAG INDUSTRIES BV)</t>
  </si>
  <si>
    <t>HETEREN (WIENERBERGER HETEREN)</t>
  </si>
  <si>
    <t>NIJMEGEN DE OOY (LIANDER)</t>
  </si>
  <si>
    <t>ECHTELD (WIENERBERGER SCHIPPERSWAARD BV)</t>
  </si>
  <si>
    <t>FARMSUM (ZEOLYST CV)</t>
  </si>
  <si>
    <t>DEEST (WIENERBERGER NARVIK DAKPANNEN)</t>
  </si>
  <si>
    <t>KLAZIENAVEEN (ESSENT ENERGIE PROD-WKC)</t>
  </si>
  <si>
    <t>COLLENDOORNERVEEN (GZI NAM BV)</t>
  </si>
  <si>
    <t>HENGELO (TWENCE AFVALSCHEIDING)</t>
  </si>
  <si>
    <t>ERICA (ESSENT ENERGIE PROD-WKC)</t>
  </si>
  <si>
    <t>Afwijkend tarieven voorstel?</t>
  </si>
  <si>
    <t>Controle: binnen bandbreedte?</t>
  </si>
  <si>
    <t>Onderkant bandbreedte</t>
  </si>
  <si>
    <t>Bovenkant bandbreedte</t>
  </si>
  <si>
    <t>Eenheid</t>
  </si>
  <si>
    <t>Tabel 2 - Rekenvolumina</t>
  </si>
  <si>
    <t>TARIEVENMODULE</t>
  </si>
  <si>
    <t>Legenda</t>
  </si>
  <si>
    <t>GEEL = Informatiecel die het resultaat is van een berekening</t>
  </si>
  <si>
    <t>BLAUW = Informatiecel die het eindresultaat geeft van een berekening</t>
  </si>
  <si>
    <t>Alle bedragen zijn in Euro's</t>
  </si>
  <si>
    <t>MP</t>
  </si>
  <si>
    <t>MP OMSCHRIJVING</t>
  </si>
  <si>
    <t>BRUMMEN (LIANDER)</t>
  </si>
  <si>
    <t>SPIJK (BV STF. SPIJK)</t>
  </si>
  <si>
    <t>SUAMEER (SONAC BURGUM BV)</t>
  </si>
  <si>
    <t>DELFT (DSM FOOD SPECIALTIES BV)</t>
  </si>
  <si>
    <t>MAASVLAKTE (E.ON BENELUX ENERGY BV)</t>
  </si>
  <si>
    <t>MAASVLAKTE (ECT DELTA TERMINAL BV)</t>
  </si>
  <si>
    <t>MAASSLUIS (STEDIN)</t>
  </si>
  <si>
    <t>ROTTERDAM (ENCI BV)</t>
  </si>
  <si>
    <t>ZOETERMEER (NUTRICIA BV)</t>
  </si>
  <si>
    <t>ROZENBURG (STEDIN)</t>
  </si>
  <si>
    <t>AMSTERDAM (SONNEBORN BV)</t>
  </si>
  <si>
    <t>GORINCHEM (PURAC BIOCHEM BV)</t>
  </si>
  <si>
    <t>BOSKOOP (LIANDER)</t>
  </si>
  <si>
    <t>HILVERSUM DE MEENT (LIANDER)</t>
  </si>
  <si>
    <t>HOEK VAN HOLLAND (STEDIN)</t>
  </si>
  <si>
    <t>DORDRECHT (DESCO CV)</t>
  </si>
  <si>
    <t>PURMEREND CANTERWEG (LIANDER)</t>
  </si>
  <si>
    <t>DEN HAAG (E.ON BENELUX ENERGY BV)</t>
  </si>
  <si>
    <t>ALBLASSERDAM (NEDSTAAL BV)</t>
  </si>
  <si>
    <t>EUROPOORT (BP RAFFINADERIJ ROTTERDAM BV)</t>
  </si>
  <si>
    <t>MAURIK (LIANDER)</t>
  </si>
  <si>
    <t>WASSENAAR (LIANDER)</t>
  </si>
  <si>
    <t>OUDERKERK A/D AMSTEL (STEDIN)</t>
  </si>
  <si>
    <t>ZOETERWOUDE (HEINEKEN NL BV)</t>
  </si>
  <si>
    <t>MAASVLAKTE DISTRIPARK (STEDIN)</t>
  </si>
  <si>
    <t>AMSTERDAM (ALBEMARLE CATALYSTS COMPANY)</t>
  </si>
  <si>
    <t>AMSTERDAM (ICL FERTILIZERS EUR.)</t>
  </si>
  <si>
    <t>BOTLEK (VOPAK TERMINAL CHEMIEHAVEN BV)</t>
  </si>
  <si>
    <t>EUROPOORT (EXXON MOBIL CHEMICAL NL BV)</t>
  </si>
  <si>
    <t>DIEMEN (NUON POWER GENERATION BV)</t>
  </si>
  <si>
    <t>BOTLEK (CLIMAX MOLYBDENUM BV)</t>
  </si>
  <si>
    <t>BOTLEK (ASFALT CENTRALE ROTTERDAM BV)</t>
  </si>
  <si>
    <t>ROTTERDAM (E.ON BENELUX ENERGY-ROCA)</t>
  </si>
  <si>
    <t>EEMNES (ASFALTPRODUCTIE DE EEM BV)</t>
  </si>
  <si>
    <t>WORMERVEER (LODERS CROKLAAN B.V.)</t>
  </si>
  <si>
    <t>BERGEN NH. (LIANDER)</t>
  </si>
  <si>
    <t>BOTLEK (CABOT BV)</t>
  </si>
  <si>
    <t>WOERDEN (MONIER BV WOERDEN)</t>
  </si>
  <si>
    <t>BOTLEK (ALUMINIUM &amp; CHEMIE ROTTERDAM BV)</t>
  </si>
  <si>
    <t>EGMOND AAN ZEE (LIANDER)</t>
  </si>
  <si>
    <t>PUTTERSHOEK (SUIKERUNIE)</t>
  </si>
  <si>
    <t>TEXEL (LIANDER)</t>
  </si>
  <si>
    <t>ROTTERDAM (GATE)</t>
  </si>
  <si>
    <t>OUDE STATENZIJL (ETZEL-EKB-H)</t>
  </si>
  <si>
    <t>ENSCHEDE (ENECO-UGS EPE)</t>
  </si>
  <si>
    <t>OUDE STATENZIJL (ETZEL-CRYSTAL-H)</t>
  </si>
  <si>
    <t>ROTTERDAM (ENECOGEN VOF)</t>
  </si>
  <si>
    <t>ROZENBURG (AIR LIQUIDE-HERACLES)</t>
  </si>
  <si>
    <t>EEMSHAVEN (NUON MAGNUMCENTRALE)</t>
  </si>
  <si>
    <t>BADHOEVEDORP (LIANDER)</t>
  </si>
  <si>
    <t>NIEUW VENNEP (LIANDER)</t>
  </si>
  <si>
    <t>PG RIJSSENHOUT (LIANDER)</t>
  </si>
  <si>
    <t>ROTTERDAM-AIR PRODUCTS NL BV</t>
  </si>
  <si>
    <t>STEENDEREN (AVIKO BV)</t>
  </si>
  <si>
    <t>DINTELOORD (TUINBOUW DINTELOORD)</t>
  </si>
  <si>
    <t>HELMOND (NEDSCHROEF HELMOND BV)</t>
  </si>
  <si>
    <t>SITTARD (ENEXIS)</t>
  </si>
  <si>
    <t>TEGELEN (MONIER BV TEGELEN)</t>
  </si>
  <si>
    <t>VOERENDAAL (ENEXIS)</t>
  </si>
  <si>
    <t>NUTH (ENEXIS)</t>
  </si>
  <si>
    <t>NEDERWEERT (ENEXIS)</t>
  </si>
  <si>
    <t>OUD GASTEL (ENEXIS)</t>
  </si>
  <si>
    <t>VEGHEL (MASTERFOODS BV)</t>
  </si>
  <si>
    <t>VLISSINGEN (PECHINEY NL NV)</t>
  </si>
  <si>
    <t>OOSTRUM (RIXONA BV)</t>
  </si>
  <si>
    <t>DINTELOORD (SUIKERUNIE)</t>
  </si>
  <si>
    <t>ACHT (VDL ETG EINDHOVEN BV)</t>
  </si>
  <si>
    <t>OUDENBOSCH (HUNTER DOUGLAS EUROPE BV)</t>
  </si>
  <si>
    <t>OEFFELT (STF. ENGELS BV)</t>
  </si>
  <si>
    <t>TILBURG (IFF NL BV)</t>
  </si>
  <si>
    <t>BERGEN OP ZOOM (NUPLEX RESINS BV)</t>
  </si>
  <si>
    <t>ROOSENDAAL (PHILIPS LIGHTING BV)</t>
  </si>
  <si>
    <t>DRUNEN (WARTSILA PROPULSION NL BV)</t>
  </si>
  <si>
    <t>HEDIKHUIZEN (STF. HEDIKHUIZEN BV)</t>
  </si>
  <si>
    <t>BREDA (INEOS NOVA NETHERLANDS BV)</t>
  </si>
  <si>
    <t>OSS (UNILEVER BESTFOODS NL)</t>
  </si>
  <si>
    <t>BERGEN OP ZOOM (ASFALTPRODUKTIE MIJ BV)</t>
  </si>
  <si>
    <t>BEEK EN DONK (HITMETAL/THIBODRAAD BV)</t>
  </si>
  <si>
    <t>ST. OEDENRODE (AHREND PROD. BEDRIJF BV)</t>
  </si>
  <si>
    <t>TERNEUZEN (DOW BENELUX BV)</t>
  </si>
  <si>
    <t>MIDDELBURG (EASTMAN CHEMICAL BV)</t>
  </si>
  <si>
    <t>ZONNEMAIRE (DELTA)</t>
  </si>
  <si>
    <t>WEERT TRANCHEEWEG (STEDIN)</t>
  </si>
  <si>
    <t>DEN BOSCH (ESSENT ENERGY-WKC HEINEKEN)</t>
  </si>
  <si>
    <t>MAASTRICHT (SAPPI MAASTRICHT BV)</t>
  </si>
  <si>
    <t>ALKMAAR (TAQA - PGI)</t>
  </si>
  <si>
    <t>MAASVLAKTE (LYONDELL BAYER MANUF. VOF)</t>
  </si>
  <si>
    <t>MAASVLAKTE (E.ON BENELUX ENERGY BV-UMCL)</t>
  </si>
  <si>
    <t>BOEKELO (GROLSCH BIERBROUWERIJ BV)</t>
  </si>
  <si>
    <t>AMSTERDAM (STARBUCKS MANUF. EMEA BV)</t>
  </si>
  <si>
    <t>BOTLEK (RIJNMOND ENERGY CV)</t>
  </si>
  <si>
    <t>DE STEEG (FACILITY SERVICES HAVELAND BV)</t>
  </si>
  <si>
    <t>BLEISWIJK (TUINBOUWCOMBINATIE)</t>
  </si>
  <si>
    <t>PERNIS (AIR LIQUIDE PERGEN)</t>
  </si>
  <si>
    <t>SPIJK GLD. (WELLMAN RECYCLING)</t>
  </si>
  <si>
    <t>ROTTERDAM (ABENGOA BIOENERGY NL BV)</t>
  </si>
  <si>
    <t>DELFZIJL (BIO-METHANOL CHEMIE NL BV)</t>
  </si>
  <si>
    <t>BOTLEK DISTRIPARK (WESTLAND)</t>
  </si>
  <si>
    <t>ROTTERDAM (EUROMAX TERMINAL)</t>
  </si>
  <si>
    <t>Dienst:</t>
  </si>
  <si>
    <t>EUR per verhandelde dienst</t>
  </si>
  <si>
    <t xml:space="preserve">Kwaliteitsconversie </t>
  </si>
  <si>
    <t>ARNHEM (DE KLEEF BV)</t>
  </si>
  <si>
    <t>SCHARSTERBRUG (PHOENIX BV)</t>
  </si>
  <si>
    <t>NIJMEGEN (MEAD JOHNSON BV)</t>
  </si>
  <si>
    <t>GASSELTERNIJVEEN (AVEBE BA)</t>
  </si>
  <si>
    <t>ZWIJNDRECHT (UNIMILLS BV)</t>
  </si>
  <si>
    <t>ROTTERDAM (CEREXAGRI BV)</t>
  </si>
  <si>
    <t>BOTLEK (CARGILL BV)</t>
  </si>
  <si>
    <t>MAASVLAKTE (IOI LODERS CROKLAAN OILS BV)</t>
  </si>
  <si>
    <t>EUROPOORT NECKARWEG (VOPAK TERMINAL BV)</t>
  </si>
  <si>
    <t>BOTLEK (HUNTSMAN HOLLAND BV)</t>
  </si>
  <si>
    <t>MARKNESSE (TUINBOUW LUTTELGEEST)</t>
  </si>
  <si>
    <t>PG GENNEP (ENEXIS)</t>
  </si>
  <si>
    <t>PG STEENBERGEN (ENEXIS)</t>
  </si>
  <si>
    <t>PG THONISSE (DELTA)</t>
  </si>
  <si>
    <t>BEEK (UTILITY SUPPORT GROUP BV G-GAS)</t>
  </si>
  <si>
    <t>OUDE STATENZIJL (GUD-G)[OBEBG]</t>
  </si>
  <si>
    <t>OUDE STATENZIJL (GUD-H)[OBEBH]</t>
  </si>
  <si>
    <t>PG GASSELTERNIJVEENSCHEMOND (ENEXIS)</t>
  </si>
  <si>
    <t>PG HARDERWIJK (LIANDER)</t>
  </si>
  <si>
    <t>PG RODEN (ENEXIS)</t>
  </si>
  <si>
    <t>PG SCHEEMDERZWAAG (ENEXIS)</t>
  </si>
  <si>
    <t>HARDERWIJK (SAPA PROFILES)</t>
  </si>
  <si>
    <t>PG DRACHTEN (LIANDER)</t>
  </si>
  <si>
    <t>NUNSPEET (NESTLE NL BV)</t>
  </si>
  <si>
    <t>PG HAREN (ENEXIS)</t>
  </si>
  <si>
    <t>PG DIEREN (LIANDER)</t>
  </si>
  <si>
    <t>PG ENSCHEDE (ENEXIS)</t>
  </si>
  <si>
    <t>PG BUINERVEEN (ENEXIS)</t>
  </si>
  <si>
    <t>PG HARDENBERG (NCO)</t>
  </si>
  <si>
    <t>PG KAMPEN (ENEXIS)</t>
  </si>
  <si>
    <t>HENGELO (THALES NL BV)</t>
  </si>
  <si>
    <t>PG DEVENTER (ENEXIS)</t>
  </si>
  <si>
    <t>PG DEN HELDER (LIANDER)</t>
  </si>
  <si>
    <t>PG ZOETERMEER (STEDIN)</t>
  </si>
  <si>
    <t>PG DELFT (STEDIN)</t>
  </si>
  <si>
    <t>PG WESTZAAN (LIANDER)</t>
  </si>
  <si>
    <t>PG ZALTBOMMEL (LIANDER)</t>
  </si>
  <si>
    <t>PG HAARLEM (LIANDER)</t>
  </si>
  <si>
    <t>PG AMSTELVEEN (STEDIN)</t>
  </si>
  <si>
    <t>PG BLEISWIJK (STEDIN)</t>
  </si>
  <si>
    <t>PG DORDRECHT (STEDIN)</t>
  </si>
  <si>
    <t>PG ROTTERDAM (STEDIN)</t>
  </si>
  <si>
    <t>PG IJMUIDEN (LIANDER)</t>
  </si>
  <si>
    <t>PG BEVERWIJK (STEDIN)</t>
  </si>
  <si>
    <t>PG NAALDWIJK (WESTLAND)</t>
  </si>
  <si>
    <t>AMSTERDAM (NUON POWER GENERATION BV)</t>
  </si>
  <si>
    <t>PG VLAARDINGEN (STEDIN)</t>
  </si>
  <si>
    <t>OUDENHOORN (FARMFRITES BV)</t>
  </si>
  <si>
    <t>PG ZEIST (STEDIN)</t>
  </si>
  <si>
    <t>BOTLEK (SARGEANT TERMINALS BV)</t>
  </si>
  <si>
    <t>EUROPOORT (GREIF NL BV)</t>
  </si>
  <si>
    <t>AMSTERDAM (EUROTANK AMSTERDAM BV)</t>
  </si>
  <si>
    <t>BOTLEK (AKZO NOBEL INDUSTRIAL CHEM BV)</t>
  </si>
  <si>
    <t>PG MOERKAPELLE (LIANDER)</t>
  </si>
  <si>
    <t>BOTLEK (ESSO NL BV)</t>
  </si>
  <si>
    <t>BOTLEK (HOYER NL BV)</t>
  </si>
  <si>
    <t>PERNIS (SHELL NL RAFFINADERIJ BV)</t>
  </si>
  <si>
    <t>TILBURG (FUJIFILM MANUFACTUR. EUROPE BV)</t>
  </si>
  <si>
    <t>PG MAASTRICHT (ENEXIS)</t>
  </si>
  <si>
    <t>PG GRONSVELD (ENEXIS)</t>
  </si>
  <si>
    <t>PG WEERT (STEDIN)</t>
  </si>
  <si>
    <t>DRUNEN (SAPA PROFILES)</t>
  </si>
  <si>
    <t>GEERTRUIDENBERG (ESSENT ENERGIE-AMERC)</t>
  </si>
  <si>
    <t>DONGEN (COCA-COLA ENTERPRISES NL BV)</t>
  </si>
  <si>
    <t>DONGEN (ARDAGH GLASS DONGEN BV)</t>
  </si>
  <si>
    <t>PG WABEWEST (DELTA)</t>
  </si>
  <si>
    <t>PG SCHOONDIJKE (DELTA)</t>
  </si>
  <si>
    <t>PG AXTER (DELTA)</t>
  </si>
  <si>
    <t>PG KRUILAND (DELTA)</t>
  </si>
  <si>
    <t>PG HOESAS (DELTA)</t>
  </si>
  <si>
    <t>GRIJPSKERK (NAM - UGS)</t>
  </si>
  <si>
    <t>NORG (NAM - UGS)</t>
  </si>
  <si>
    <t>HOOGEZAND (PARKER HANNIFIN BV)</t>
  </si>
  <si>
    <t>PG HOLESTEEN (DELTA)</t>
  </si>
  <si>
    <t>SLUISKIL (YARA BV-G-GAS)</t>
  </si>
  <si>
    <t>GELEEN (UTILITY SUPPORT GROUP BV H_GAS)</t>
  </si>
  <si>
    <t>SCHIEDAM (STEDIN)</t>
  </si>
  <si>
    <t>PG HOUTEN (STEDIN)</t>
  </si>
  <si>
    <t>PG HOOGLAND (STEDIN)</t>
  </si>
  <si>
    <t>PG VEENENDAAL (STEDIN)</t>
  </si>
  <si>
    <t>PG HELDEN (ENEXIS)</t>
  </si>
  <si>
    <t>PG HOOGEVEEN (RENDO)</t>
  </si>
  <si>
    <t>PG ECHTEN (RENDO)</t>
  </si>
  <si>
    <t>PG ALMELO (NCO)</t>
  </si>
  <si>
    <t>NG DEN HAAG (STEDIN)</t>
  </si>
  <si>
    <t>NG GOUDA (STEDIN)</t>
  </si>
  <si>
    <t>PG BERGEIJK (ENEXIS)</t>
  </si>
  <si>
    <t>PG BERGEN OP ZOOM (ENEXIS)</t>
  </si>
  <si>
    <t>PG BREDA (ENEXIS)</t>
  </si>
  <si>
    <t>PG DONGEN (ENEXIS)</t>
  </si>
  <si>
    <t>PG ETTEN-LEUR (ENEXIS)</t>
  </si>
  <si>
    <t>PG GILZE (ENEXIS)</t>
  </si>
  <si>
    <t>PG VLIJMEN (ENEXIS)</t>
  </si>
  <si>
    <t>PG ARCEN (ENEXIS)</t>
  </si>
  <si>
    <t>PG GELEEN (ENEXIS)</t>
  </si>
  <si>
    <t>PG HEERLEN (ENEXIS)</t>
  </si>
  <si>
    <t>PG HERKENBOSCH (ENEXIS)</t>
  </si>
  <si>
    <t>PG KERKRADE (ENEXIS)</t>
  </si>
  <si>
    <t>PG ROERMOND (ENEXIS)</t>
  </si>
  <si>
    <t>PG VENLO (ENEXIS)</t>
  </si>
  <si>
    <t>PG ASSEN (ENEXIS)</t>
  </si>
  <si>
    <t>PG GRONINGEN STAD (ENEXIS)</t>
  </si>
  <si>
    <t>PG HENGELO (ENEXIS)</t>
  </si>
  <si>
    <t>PG MIDWOLDA (ENEXIS)</t>
  </si>
  <si>
    <t>PG OMMEN (ENEXIS)</t>
  </si>
  <si>
    <t>PG RAALTE (ENEXIS)</t>
  </si>
  <si>
    <t>PG WINSCHOTEN (ENEXIS)</t>
  </si>
  <si>
    <t>PG ZWOLLE (ENEXIS)</t>
  </si>
  <si>
    <t>PG ALKMAAR (LIANDER)</t>
  </si>
  <si>
    <t>PG AMSTERDAM (LIANDER)</t>
  </si>
  <si>
    <t>PG ARNHEM (LIANDER)</t>
  </si>
  <si>
    <t>PG DRUTEN (LIANDER)</t>
  </si>
  <si>
    <t>PG EEFDE (LIANDER)</t>
  </si>
  <si>
    <t>PG ELST (LIANDER)</t>
  </si>
  <si>
    <t>PG GELDERMALSEN (LIANDER)</t>
  </si>
  <si>
    <t>PG NIJMEGEN (LIANDER)</t>
  </si>
  <si>
    <t>PG WAARDENBURG (LIANDER)</t>
  </si>
  <si>
    <t>PG WEZEP (LIANDER)</t>
  </si>
  <si>
    <t>PG ZEVENAAR (LIANDER)</t>
  </si>
  <si>
    <t>ZANDVLIET (WINGAS-H)</t>
  </si>
  <si>
    <t>PG GROENLO (LIANDER)</t>
  </si>
  <si>
    <t>PG DOETINCHEM (LIANDER)</t>
  </si>
  <si>
    <t>PG ALPHEN A/D RIJN (LIANDER)</t>
  </si>
  <si>
    <t>ZWIJNDRECHT (HERCULES BV)</t>
  </si>
  <si>
    <t>EUROPOORT (MAFINA BV)</t>
  </si>
  <si>
    <t>OPHEUSDEN (WIENERBERGER WOLFSWAARD)</t>
  </si>
  <si>
    <t>DELFZIJL (AKZO ZOUTCHEMIE)</t>
  </si>
  <si>
    <t>BIDDINGHUIZEN (WALIBI WORLD BV)</t>
  </si>
  <si>
    <t>TER APELKANAAL (AVEBE BA)</t>
  </si>
  <si>
    <t>LELYSTAD (CIDC)</t>
  </si>
  <si>
    <t>DELFZIJL (LAFARGE GIPS BV)</t>
  </si>
  <si>
    <t>KOOG A/D ZAAN (ADM COCOA BV)</t>
  </si>
  <si>
    <t>EUROPOORT (ADM)</t>
  </si>
  <si>
    <t>SASSENHEIM (AKZO NOBEL CAR REFINISHES)</t>
  </si>
  <si>
    <t>SLUISKIL (YARA BV H-GAS)</t>
  </si>
  <si>
    <t>Totaal</t>
  </si>
  <si>
    <t>BOTLEK (ALMATIS BV)</t>
  </si>
  <si>
    <t>VELSEN NOORD (LIANDER)</t>
  </si>
  <si>
    <t>VOLENDAM (LIANDER)</t>
  </si>
  <si>
    <t>MONNICKENDAM (LIANDER)</t>
  </si>
  <si>
    <t>WORMER (ADM COCOA BV)</t>
  </si>
  <si>
    <t>BOTLEK (TRONOX PIGMENTS HOLLAND BV)</t>
  </si>
  <si>
    <t>SCHIPHOL (AFBP CV)</t>
  </si>
  <si>
    <t>EUROPOORT MOEZELWEG (VOPAK TERMINAL BV)</t>
  </si>
  <si>
    <t>MIDDELHARNIS (STEDIN)</t>
  </si>
  <si>
    <t>ROSSUM (LIANDER)</t>
  </si>
  <si>
    <t>ASPEREN (STEDIN)</t>
  </si>
  <si>
    <t>DEN HAAG (HAC BV)</t>
  </si>
  <si>
    <t>EUROPOORT (CALDIC BV)</t>
  </si>
  <si>
    <t>DUIVENDRECHT (STEDIN)</t>
  </si>
  <si>
    <t>BOTLEK (ODFJELL TERMINALS ROTTERDAM BV)</t>
  </si>
  <si>
    <t>BOTLEK (LBC ROTTERDAM BV)</t>
  </si>
  <si>
    <t>BOTLEK (JDB ECOTECHNIEK)</t>
  </si>
  <si>
    <t>PERNIS (AVR INDUSTRIAL WASTE NV)</t>
  </si>
  <si>
    <t>HALFWEG (STEDIN)</t>
  </si>
  <si>
    <t>ABBENBROEK (STEDIN)</t>
  </si>
  <si>
    <t>OUDENHOORN RUIGENDIJK (STEDIN)</t>
  </si>
  <si>
    <t>BOTLEK (KEPPEL VEROLME BV)</t>
  </si>
  <si>
    <t>BERGSCHENHOEK WILD. KADE (STEDIN)</t>
  </si>
  <si>
    <t>AMSTERDAM (NUGRO VOF)</t>
  </si>
  <si>
    <t>BOTLEK (AIR PRODUCTS NL BV)</t>
  </si>
  <si>
    <t>HAAFTEN (WIENERBERGER HAAFTEN)</t>
  </si>
  <si>
    <t>VELSEN (PF. CROWN VAN GELDER NV)</t>
  </si>
  <si>
    <t>BOTLEK (SERVICE TERMINAL ROTTERDAM VOF)</t>
  </si>
  <si>
    <t>VUREN (XELLA CELLENBETON NL BV)</t>
  </si>
  <si>
    <t>KROMMENIE (FORBO FLOORING CORAL NV)</t>
  </si>
  <si>
    <t>VELSEN (NUON POWER GENERATION BV)</t>
  </si>
  <si>
    <t>PERNIS (ARGOS TERMINALS BV)</t>
  </si>
  <si>
    <t>AMSTERDAM OCEANENWEG (CARGILL BV)</t>
  </si>
  <si>
    <t>AMSTERDAM COENHAVENWEG (CARGILL BV)</t>
  </si>
  <si>
    <t>ABBEKERK (GRASDROGERIJ HARTOG BV)</t>
  </si>
  <si>
    <t>EUROPOORT (KUWAIT PETROLEUM BV)</t>
  </si>
  <si>
    <t>MOERDIJK (ARDAGH GLASS BV)</t>
  </si>
  <si>
    <t>GELEEN (ESSENT ENERGY-WKC SWENTIBOLD)</t>
  </si>
  <si>
    <t>SOMEREN (KIEVITSAKKERS BV)</t>
  </si>
  <si>
    <t>TEGELEN (WIENERBERGER NARVIK DAKPANNEN)</t>
  </si>
  <si>
    <t>LIESHOUT (BAVARIA NV)</t>
  </si>
  <si>
    <t>KERKRADE (E-MAX)</t>
  </si>
  <si>
    <t>HELMOND (J.A. RAYMAKERS &amp; CO BV)</t>
  </si>
  <si>
    <t>KLUNDERT (SHELL NL CHEMIE BV)</t>
  </si>
  <si>
    <t>WEERT (FACILITIES WETERING BV)</t>
  </si>
  <si>
    <t>BARENDRECHT (NAM)</t>
  </si>
  <si>
    <t>BEDUM (NAM)</t>
  </si>
  <si>
    <t>BLIJA (NAM)</t>
  </si>
  <si>
    <t>BOTLEK (NAM)</t>
  </si>
  <si>
    <t>EMMEN GZI (NAM)</t>
  </si>
  <si>
    <t>GAAG (NAM)</t>
  </si>
  <si>
    <t>GROOTEGAST (NAM)</t>
  </si>
  <si>
    <t>KOOTSTERTILLE (NAM)</t>
  </si>
  <si>
    <t>MONSTER (NAM)</t>
  </si>
  <si>
    <t>UITHUIZEN (NGT)</t>
  </si>
  <si>
    <t>OUDE PEKELA (NAM)</t>
  </si>
  <si>
    <t>ROTTERDAM WESTGAS (NAM)</t>
  </si>
  <si>
    <t>GRONINGEN (NAM)</t>
  </si>
  <si>
    <t>TEN ARLO (NAM)</t>
  </si>
  <si>
    <t>URETERP (NAM)</t>
  </si>
  <si>
    <t>WARFFUM (NAM)</t>
  </si>
  <si>
    <t>EMDEN EPT (GASSCO)</t>
  </si>
  <si>
    <t>ZANDVLIET (FLUXYS-H)</t>
  </si>
  <si>
    <t>JULIANADORP (BBL)</t>
  </si>
  <si>
    <t>MIDDELIE (NAM)</t>
  </si>
  <si>
    <t>EEMSHAVEN O</t>
  </si>
  <si>
    <t>Heffingsrente eerste kwartaal</t>
  </si>
  <si>
    <t>Heffingsrente tweede kwartaal</t>
  </si>
  <si>
    <t>Heffingsrente derde kwartaal</t>
  </si>
  <si>
    <t>Heffingsrente vierde kwartaal</t>
  </si>
  <si>
    <t>Jaarlijkse heffingsrente gerekend per helft van een jaar</t>
  </si>
  <si>
    <t>Heffingsrente tabel</t>
  </si>
  <si>
    <t>1+cpi</t>
  </si>
  <si>
    <t>Naam</t>
  </si>
  <si>
    <t>Afschrijvingstermijn</t>
  </si>
  <si>
    <t>Jaar</t>
  </si>
  <si>
    <t>CPI</t>
  </si>
  <si>
    <t>Bron: CBS</t>
  </si>
  <si>
    <t>Inflatie van:</t>
  </si>
  <si>
    <t>CPI tabel</t>
  </si>
  <si>
    <t>Aandeel OPEX op Investering</t>
  </si>
  <si>
    <t>Klasse</t>
  </si>
  <si>
    <t>01 Regionale leidingen</t>
  </si>
  <si>
    <t>02 Gasontvangstations</t>
  </si>
  <si>
    <t>03 Verremeting</t>
  </si>
  <si>
    <t>04 Terreinen</t>
  </si>
  <si>
    <t>05 Wegen en terreinvoorzieningen</t>
  </si>
  <si>
    <t>06 Utiliteitsgebouwen</t>
  </si>
  <si>
    <t>07 Dienstwoningen</t>
  </si>
  <si>
    <t>08 Inrichting gebouwen</t>
  </si>
  <si>
    <t>09 Bedrijfsinventaris</t>
  </si>
  <si>
    <t>10 Gereedschap</t>
  </si>
  <si>
    <t>11 Werktuigen</t>
  </si>
  <si>
    <t>12 Motorvoertuigen</t>
  </si>
  <si>
    <t>13 Aanhangwagens</t>
  </si>
  <si>
    <t>15 Compressorstations</t>
  </si>
  <si>
    <t>17 Mengstations</t>
  </si>
  <si>
    <t>18 Ijkinstallaties</t>
  </si>
  <si>
    <t>19 Stortgasinstallatie</t>
  </si>
  <si>
    <t>20 Kantoorgebouwen</t>
  </si>
  <si>
    <t>22 Regionaal hoofdtransportnet</t>
  </si>
  <si>
    <t>23 Brigittaleiding</t>
  </si>
  <si>
    <t>32 M&amp;R stations</t>
  </si>
  <si>
    <t>33 Exportstations</t>
  </si>
  <si>
    <t>34 Reduceerstations</t>
  </si>
  <si>
    <t>35 Injectiestations</t>
  </si>
  <si>
    <t>36 Luchtscheidingsunit</t>
  </si>
  <si>
    <t>Omschrijving</t>
  </si>
  <si>
    <t>Investering</t>
  </si>
  <si>
    <t>Datum ingebruikname</t>
  </si>
  <si>
    <t>Afschrijvingstermijnen</t>
  </si>
  <si>
    <t>Activaklasse</t>
  </si>
  <si>
    <t>KC</t>
  </si>
  <si>
    <t>14 Overig rollend materieel</t>
  </si>
  <si>
    <t>16 LNG installaties</t>
  </si>
  <si>
    <t>21 Hoofdtransportleiding</t>
  </si>
  <si>
    <t>Heffingsrente</t>
  </si>
  <si>
    <t>Primo</t>
  </si>
  <si>
    <t>Inv</t>
  </si>
  <si>
    <t>Niet geïnfleerde afs</t>
  </si>
  <si>
    <t>Afs geinfleerd</t>
  </si>
  <si>
    <t>Inflatie</t>
  </si>
  <si>
    <t>Ultimo</t>
  </si>
  <si>
    <t xml:space="preserve">Wheeling </t>
  </si>
  <si>
    <t>WACC 2014-2016</t>
  </si>
  <si>
    <t>X-factor transport 2014-2016</t>
  </si>
  <si>
    <t>X-factor kwaliteitsconversie 2014-2016</t>
  </si>
  <si>
    <t xml:space="preserve">X-factor balancering 2014-2016 </t>
  </si>
  <si>
    <t>X-factor aansluitpunt 2014-2016</t>
  </si>
  <si>
    <t xml:space="preserve"> </t>
  </si>
  <si>
    <t>Transport</t>
  </si>
  <si>
    <t>Balancering</t>
  </si>
  <si>
    <t>TT</t>
  </si>
  <si>
    <t>BT</t>
  </si>
  <si>
    <t>37 ICT middelen 1</t>
  </si>
  <si>
    <t>38 ICT middelen 2</t>
  </si>
  <si>
    <t>39 ICT middelen 3</t>
  </si>
  <si>
    <t>42 Vulgas</t>
  </si>
  <si>
    <t>43 Stikstof</t>
  </si>
  <si>
    <t>AT</t>
  </si>
  <si>
    <t>Bestaande aansluiting</t>
  </si>
  <si>
    <t>Aansluitpunt</t>
  </si>
  <si>
    <t>50% verrekening winst/verlies via tarief 2016</t>
  </si>
  <si>
    <t>BAT</t>
  </si>
  <si>
    <t>omzet exit</t>
  </si>
  <si>
    <t>omzet entry</t>
  </si>
  <si>
    <t>omzet connection</t>
  </si>
  <si>
    <t>omzet wheeling</t>
  </si>
  <si>
    <t>omzet diversion</t>
  </si>
  <si>
    <t xml:space="preserve">Balancering </t>
  </si>
  <si>
    <t>OUDE STATENZIJL (ETZEL-FREYA-H)</t>
  </si>
  <si>
    <t>IJMUIDEN (WINTERSHALL)</t>
  </si>
  <si>
    <t>KOOG A/D ZAAN (TATE &amp; LYLE NL BV)</t>
  </si>
  <si>
    <t>NG BRIELLE (STEDIN)</t>
  </si>
  <si>
    <t>NG HEEMSTEDE (STEDIN)</t>
  </si>
  <si>
    <t>NG HOEKSE WAARD (STEDIN)</t>
  </si>
  <si>
    <t>NG KRIMPEN (STEDIN)</t>
  </si>
  <si>
    <t>NG LEERDAM (STEDIN)</t>
  </si>
  <si>
    <t>NG NOORD-OOST FRIESLAND (STEDIN)</t>
  </si>
  <si>
    <t>NG HILVERSUM (LIANDER)</t>
  </si>
  <si>
    <t>MAASBRACHT (ESSENT EP CLAUS CENTRALE-G)</t>
  </si>
  <si>
    <t>OOSTERBIERUM (LAMB WESTON)</t>
  </si>
  <si>
    <t>OUDE STATENZIJL (EWE JEMGUM)</t>
  </si>
  <si>
    <t>ORANJE = Verwijzing die ingevuld is door ACM</t>
  </si>
  <si>
    <t>Opbrengsten 2012</t>
  </si>
  <si>
    <t>Overdracht TT gebruiksrecht</t>
  </si>
  <si>
    <r>
      <t xml:space="preserve">Totaal effect moet </t>
    </r>
    <r>
      <rPr>
        <b/>
        <sz val="10"/>
        <rFont val="Arial"/>
        <family val="2"/>
      </rPr>
      <t>&gt;=</t>
    </r>
    <r>
      <rPr>
        <sz val="10"/>
        <rFont val="Arial"/>
        <family val="2"/>
      </rPr>
      <t>0 zijn</t>
    </r>
  </si>
  <si>
    <t>Incidentele correctie</t>
  </si>
  <si>
    <t>Entrypunt  gasopslag?</t>
  </si>
  <si>
    <t>Omzet na korting</t>
  </si>
  <si>
    <t>Omzet voor korting</t>
  </si>
  <si>
    <t>Rekenhoeveelheid 2013</t>
  </si>
  <si>
    <t>Tarief TT + BT 2013</t>
  </si>
  <si>
    <t>Tarief KC 2013</t>
  </si>
  <si>
    <t>OPEX 2012</t>
  </si>
  <si>
    <t>bron: Methodebesluit 2010-2013</t>
  </si>
  <si>
    <t>TT (incl. BAT)</t>
  </si>
  <si>
    <t>Tabel 10 - Entrytarieven</t>
  </si>
  <si>
    <t>WACC 2010-2013</t>
  </si>
  <si>
    <t>X-factor bestaande aansluiting 2014-2016</t>
  </si>
  <si>
    <t>Bestaande aansluiting (BAT)</t>
  </si>
  <si>
    <t>Verdeelsleutel per taak 2014-2016</t>
  </si>
  <si>
    <t>EXIT (TT)</t>
  </si>
  <si>
    <t>MP Marktsegment</t>
  </si>
  <si>
    <t>border point</t>
  </si>
  <si>
    <t>storage</t>
  </si>
  <si>
    <t>production point</t>
  </si>
  <si>
    <t>EXIT 
(CONNECTION)</t>
  </si>
  <si>
    <t>ja=1, nee=0</t>
  </si>
  <si>
    <t xml:space="preserve">BAT MP          </t>
  </si>
  <si>
    <t>CONNECTION MP</t>
  </si>
  <si>
    <t>ENTRY (BAT)</t>
  </si>
  <si>
    <t xml:space="preserve">AT MP          </t>
  </si>
  <si>
    <t>1=ja</t>
  </si>
  <si>
    <t>ENTRY (AT)</t>
  </si>
  <si>
    <t>Connection MP</t>
  </si>
  <si>
    <t>Begininkomsten 2013 per taak</t>
  </si>
  <si>
    <t>Aandeel OPEX op investering AT</t>
  </si>
  <si>
    <t>OPEX basis</t>
  </si>
  <si>
    <t xml:space="preserve"> Ja of nee</t>
  </si>
  <si>
    <t>Tabel 3 - Tariefaanpassing</t>
  </si>
  <si>
    <t>Ratio aanpassing</t>
  </si>
  <si>
    <t>Bron: Methodebesluit 2010-2013</t>
  </si>
  <si>
    <t>bron: Methodebesluiten</t>
  </si>
  <si>
    <t>Opbrengsten 2013 voor investeringen met opbrengsten lager dan kosten</t>
  </si>
  <si>
    <t>OPEX 2010</t>
  </si>
  <si>
    <t>OPEX 2011</t>
  </si>
  <si>
    <t>Opbrengsten 2010</t>
  </si>
  <si>
    <t>Opbrengsten 2011</t>
  </si>
  <si>
    <t>Allocatie grenscapaciteit</t>
  </si>
  <si>
    <t>Uitbreiding Eucabo</t>
  </si>
  <si>
    <t>Portfolio stuursignaal</t>
  </si>
  <si>
    <t>Technisch beheer, licenties</t>
  </si>
  <si>
    <t>Samenwerking APX</t>
  </si>
  <si>
    <t>Vergroten liquiditeit op de within day markt</t>
  </si>
  <si>
    <t xml:space="preserve">Europese samenwerking </t>
  </si>
  <si>
    <t xml:space="preserve">Voorbereiding ENTSOG </t>
  </si>
  <si>
    <t>Transparantie deel 1 en 2</t>
  </si>
  <si>
    <t>Verbeteren transparantie en vervolg EU Transparancy platform II</t>
  </si>
  <si>
    <t>Transparantie deel 3</t>
  </si>
  <si>
    <t xml:space="preserve">Uitbreiding Transport Insight </t>
  </si>
  <si>
    <t>Nomineren</t>
  </si>
  <si>
    <t>Nomineren via internet</t>
  </si>
  <si>
    <t>Edig@s 4.0</t>
  </si>
  <si>
    <t>Bericht uitwisseling</t>
  </si>
  <si>
    <t>Transparantie deel 4</t>
  </si>
  <si>
    <t>Vervolg EU Transparancy platform III</t>
  </si>
  <si>
    <t xml:space="preserve">GC link </t>
  </si>
  <si>
    <t>Inpassing nieuwe gassen</t>
  </si>
  <si>
    <t>Wettelijke rapportage</t>
  </si>
  <si>
    <t>Leveringszekerheid</t>
  </si>
  <si>
    <t>Netnorm</t>
  </si>
  <si>
    <t>Ombouw aangeslotene</t>
  </si>
  <si>
    <t>PRISMA-capaciteit veiling</t>
  </si>
  <si>
    <t>Pilot veilen op grenspunten</t>
  </si>
  <si>
    <t xml:space="preserve">Netto kosten </t>
  </si>
  <si>
    <t>EUR</t>
  </si>
  <si>
    <t>kWh/h/y</t>
  </si>
  <si>
    <t xml:space="preserve">40 Aansluitpunt </t>
  </si>
  <si>
    <t>41 Stikstofbuffer</t>
  </si>
  <si>
    <t>EUR/kWh/h/y</t>
  </si>
  <si>
    <t>EUR/kWh/hour/year</t>
  </si>
  <si>
    <t>EUR/gecontracteerde entry- en exitcapaciteit uitgedrukt in kWh/hour/year</t>
  </si>
  <si>
    <t>EUR/gecontracteerde entry- of exitcapaciteit voor BAT MP uitgedrukt in kWh/hour/year</t>
  </si>
  <si>
    <t>M&amp;R stations</t>
  </si>
  <si>
    <t>Terreinen</t>
  </si>
  <si>
    <t>Compressorstations</t>
  </si>
  <si>
    <t>Compressorstations (latere activeringen Q1-Q2 2013)</t>
  </si>
  <si>
    <t>Leidingen</t>
  </si>
  <si>
    <t>Regionale leidingen</t>
  </si>
  <si>
    <t>Leidingen  (latere activeringen Q1-Q2 2013)</t>
  </si>
  <si>
    <t>Installaties (latere activeringen Q1-Q2 2013)</t>
  </si>
  <si>
    <t>M&amp;R stations (latere activeringen Q1-Q2 2013)</t>
  </si>
  <si>
    <t>Leidingen (latere activeringen Q1-Q2 2013)</t>
  </si>
  <si>
    <t>ja</t>
  </si>
  <si>
    <t>Gasontvangstations (latere activeringen Q1-Q2 2013)</t>
  </si>
  <si>
    <t>Stikstofbuffer Heiligerlee</t>
  </si>
  <si>
    <t>Mengstations (latere activeringen Q1-Q2 2013)</t>
  </si>
  <si>
    <t>Vulgas</t>
  </si>
  <si>
    <t>SLOE (DELTA)</t>
  </si>
  <si>
    <t>NG TILBURG (ENEXIS)</t>
  </si>
  <si>
    <t>NG DEN BOSCH (ENEXIS)</t>
  </si>
  <si>
    <t>MAASVLAKTE Q16 ORANJE NASSAU (ONE)</t>
  </si>
  <si>
    <t>virtual</t>
  </si>
  <si>
    <t>DINXPERLO (BEW)</t>
  </si>
  <si>
    <t>RENKUM (PARENCO BV)</t>
  </si>
  <si>
    <t>BERGUM (GDF SUEZ ENERGIE NL NV)</t>
  </si>
  <si>
    <t>NIJMEGEN (GDF SUEZ ENERGIE NL NV)</t>
  </si>
  <si>
    <t>VUREN (SONAC VUREN BV)</t>
  </si>
  <si>
    <t>MOERDIJK (WKC VUILVERBRANDING)</t>
  </si>
  <si>
    <t>OSS (MERCK MSD OSS BV)</t>
  </si>
  <si>
    <t>LELYSTAD (GDF SUEZ ENERGIE NL NV-MAXIMA)</t>
  </si>
  <si>
    <t>OUDE STATENZIJL (GTG NORD-G)</t>
  </si>
  <si>
    <t>MAASVLAKTE (TAQA)</t>
  </si>
  <si>
    <t>OUDE STATENZIJL (ASTORA JEMGUM)</t>
  </si>
  <si>
    <t>hoofdtransportleiding</t>
  </si>
  <si>
    <t>WIT = Harde input</t>
  </si>
  <si>
    <t>CAPEX</t>
  </si>
  <si>
    <t>nee</t>
  </si>
  <si>
    <t>OPEX</t>
  </si>
  <si>
    <t xml:space="preserve">CAPEX </t>
  </si>
  <si>
    <t>Opbrengsten</t>
  </si>
  <si>
    <t xml:space="preserve">Kosten - opbrengsten </t>
  </si>
  <si>
    <t>incl. heffingsrente</t>
  </si>
  <si>
    <t>OPEX BASIS</t>
  </si>
  <si>
    <t>primo:</t>
  </si>
  <si>
    <t>ultimo:</t>
  </si>
  <si>
    <t>GAW standen</t>
  </si>
  <si>
    <t xml:space="preserve">Inflatie van investeringsjaar naar: </t>
  </si>
  <si>
    <t>Jaarlijkse afschrijving zonder inflatie</t>
  </si>
  <si>
    <t>CAPEX per jaar</t>
  </si>
  <si>
    <t>Aandeel per wettelijke taak</t>
  </si>
  <si>
    <t>BT %</t>
  </si>
  <si>
    <t>KC %</t>
  </si>
  <si>
    <t xml:space="preserve">dan kosten? </t>
  </si>
  <si>
    <t>ja of nee</t>
  </si>
  <si>
    <t>TT (incl. BAT) %</t>
  </si>
  <si>
    <t>Opbrengsten 2013 van investeringen met opbrengsten lager dan kosten excl. heffingsrente</t>
  </si>
  <si>
    <t>Opbrengsten 2013 van investeringen met opbrengsten lager dan kosten incl. heffingsrente</t>
  </si>
  <si>
    <t>Kosten per wettelijke taak</t>
  </si>
  <si>
    <t>TT%</t>
  </si>
  <si>
    <t>BT%</t>
  </si>
  <si>
    <t>KC%</t>
  </si>
  <si>
    <t>bron: Methodebesluit 2014-2016</t>
  </si>
  <si>
    <t>Vereiste omzet niet-gasopslag</t>
  </si>
  <si>
    <t>Vereiste tariefstijging niet gasopslag</t>
  </si>
  <si>
    <t>Controle</t>
  </si>
  <si>
    <t>Omzet gasopslag na korting</t>
  </si>
  <si>
    <t>Omzet niet gasopslag vóór compensatie</t>
  </si>
  <si>
    <t>OPEX + CAPEX</t>
  </si>
  <si>
    <t>OPEX + CAPEX BT</t>
  </si>
  <si>
    <t>OPEX + CAPEX KC</t>
  </si>
  <si>
    <t>OPEX + CAPEX incl heffingsrente</t>
  </si>
  <si>
    <t xml:space="preserve"> obv 1% schatting?</t>
  </si>
  <si>
    <t>obv specifieke schatting</t>
  </si>
  <si>
    <t>obv schatting</t>
  </si>
  <si>
    <t>Type niet reguliere UI</t>
  </si>
  <si>
    <t>TT (excl. BAT)</t>
  </si>
  <si>
    <t>Nieuw in</t>
  </si>
  <si>
    <t>termijn</t>
  </si>
  <si>
    <t>Afschrijvings-</t>
  </si>
  <si>
    <t>excl. heffingsrente</t>
  </si>
  <si>
    <t>OPEX per jaar</t>
  </si>
  <si>
    <t xml:space="preserve">OPEX </t>
  </si>
  <si>
    <t xml:space="preserve">Opbrengsten 2013 hoger </t>
  </si>
  <si>
    <t>Ja of Nee</t>
  </si>
  <si>
    <t xml:space="preserve">Kosten ter vergoeding in </t>
  </si>
  <si>
    <t>Totaal toe te rekenen kosten</t>
  </si>
  <si>
    <t>OPEX + CAPEX TT incl. BAT</t>
  </si>
  <si>
    <t>OPEX + CAPEX TT excl. BAT</t>
  </si>
  <si>
    <t>van investeringen uit 2013</t>
  </si>
  <si>
    <t>Te vergoeden kosten</t>
  </si>
  <si>
    <t>Splitsing van kosten UI's uit 2013 TT (incl. BAT) en TT (excl. BAT) over TT en BAT</t>
  </si>
  <si>
    <t xml:space="preserve">Schatting GTS omzet shorthaul </t>
  </si>
  <si>
    <t>Schatting GTS omzet verlegging</t>
  </si>
  <si>
    <t>Schatting GTS omzet maatwerk</t>
  </si>
  <si>
    <t>Tariefaanpassing</t>
  </si>
  <si>
    <t>Correctie TI transport agv shorthaul</t>
  </si>
  <si>
    <t>Correctie TI transport agv verlegging</t>
  </si>
  <si>
    <t>Correctie TI transport agv maatwerk</t>
  </si>
  <si>
    <t>Subtotaal transport</t>
  </si>
  <si>
    <t>Totaal Transport</t>
  </si>
  <si>
    <t>Schatting voor omzetten waar in het tarievenbesluit geen tarief voor wordt vastgesteld</t>
  </si>
  <si>
    <t>RV 2016</t>
  </si>
  <si>
    <t>GTS 2016</t>
  </si>
  <si>
    <t>OEFFELT (ENDINET)</t>
  </si>
  <si>
    <t>LANDHORST (ENDINET)</t>
  </si>
  <si>
    <t>GOIRLE (DESSO BV)</t>
  </si>
  <si>
    <t>PG HOOGERHEIDE (ENEXIS B.V.)</t>
  </si>
  <si>
    <t>PG GIESSEN (ENEXIS B.V.)</t>
  </si>
  <si>
    <t>ALPHEN NB (ENEXIS B.V.)</t>
  </si>
  <si>
    <t>PG OOSTERHOUT (ENEXIS B.V.)</t>
  </si>
  <si>
    <t>MILL (ENDINET)</t>
  </si>
  <si>
    <t>CUYK (ENDINET)</t>
  </si>
  <si>
    <t>VUGHT (ENDINET)</t>
  </si>
  <si>
    <t>GRAVE (ENDINET)</t>
  </si>
  <si>
    <t>HILVARENBEEK (ENEXIS B.V.)</t>
  </si>
  <si>
    <t>HEUSDEN (ENEXIS B.V.)</t>
  </si>
  <si>
    <t>PRINSENBEEK (ENEXIS B.V.)</t>
  </si>
  <si>
    <t>PG SPRUNDEL (ENEXIS B.V.)</t>
  </si>
  <si>
    <t>SCHIJNDEL (ENDINET)</t>
  </si>
  <si>
    <t>BEEK EN DONK WEST (ENDINET)</t>
  </si>
  <si>
    <t>AARLE-RIXTEL (ENDINET)</t>
  </si>
  <si>
    <t>EIJSDEN (UMICORE NL BV)</t>
  </si>
  <si>
    <t>VEGHEL (FRIESLANDCAMPINA)</t>
  </si>
  <si>
    <t>ZEVENAAR</t>
  </si>
  <si>
    <t>WINTERSWIJK (OGE)</t>
  </si>
  <si>
    <t>TEGELEN (OGE)</t>
  </si>
  <si>
    <t>BOCHOLTZ TENP (OGE - FLX TENP)</t>
  </si>
  <si>
    <t>HAANRADE (THYSSENGAS)</t>
  </si>
  <si>
    <t>OUDE STATENZIJL (OGE)</t>
  </si>
  <si>
    <t>OUDE STATENZIJL (GASCADE-H)</t>
  </si>
  <si>
    <t>ZUTPHEN (AURUBIS NETHERLANDS BV)</t>
  </si>
  <si>
    <t>ZWOLLE (GDF SUEZ ENERGIE NL NV)</t>
  </si>
  <si>
    <t>DELFZIJL (CONTITANK BV)</t>
  </si>
  <si>
    <t>ZWOLLE (SENSUS BV)</t>
  </si>
  <si>
    <t>HOOGKERK (SMURFIT KAPPA SB BV)</t>
  </si>
  <si>
    <t>HOOGEZAND (QEW ENGINEERED RUBBER)</t>
  </si>
  <si>
    <t>COEVORDEN (SMURFIT KAPPA SB BV)</t>
  </si>
  <si>
    <t>NIJVERDAL (TEN CATE PROTECT BV)</t>
  </si>
  <si>
    <t>LOCHEM (FRIESLANDCAMPINA)</t>
  </si>
  <si>
    <t>LOENEN (SOLIDPACK BV)</t>
  </si>
  <si>
    <t>BEILEN (FRIESLANDCAMPINA DOMO)</t>
  </si>
  <si>
    <t>OUDE PEKELA (SMURFIT KAPPA SB BV)</t>
  </si>
  <si>
    <t>FARMSUM (CLD BV)</t>
  </si>
  <si>
    <t>NIEUWE PEKELA (SMURFIT KAPPA TWINCORR)</t>
  </si>
  <si>
    <t>ENSCHEDE (APOLLO VREDESTEIN)</t>
  </si>
  <si>
    <t>HETEREN (STEENFABRIEK RANDWIJK)</t>
  </si>
  <si>
    <t>SLOTEN (SLOTEN BV)</t>
  </si>
  <si>
    <t>LEEK (HUNTER DOUGLAS EUROPE BV)</t>
  </si>
  <si>
    <t>HAAKSBERGEN (ENEXIS)</t>
  </si>
  <si>
    <t>GROESBEEK (LIANDER)</t>
  </si>
  <si>
    <t>ZUIDWOLDE (RENDO)</t>
  </si>
  <si>
    <t>PG HOEVELAKEN (LIANDER)</t>
  </si>
  <si>
    <t>HAALDEREN (WIENERBERGER BEMMEL)</t>
  </si>
  <si>
    <t>DEEST (STF. VOGELENSANGH)</t>
  </si>
  <si>
    <t>LOBITH (LIANDER)</t>
  </si>
  <si>
    <t>WINSCHOTEN (PQ NL BV)</t>
  </si>
  <si>
    <t>DELFZIJL (DELESTO)</t>
  </si>
  <si>
    <t>NIJVERDAL (TEN CATE ADVANCED TEXT. BV)</t>
  </si>
  <si>
    <t>DELFZIJL (ALDEL BV)</t>
  </si>
  <si>
    <t>ENSCHEDE (VAN MERKSTEIJN PLASTICS BV)</t>
  </si>
  <si>
    <t>ENSCHEDE (ENNATUURLIJK WKC)</t>
  </si>
  <si>
    <t>LOENEN (SMURFIT KAPPA MNL GOLFKARTON)</t>
  </si>
  <si>
    <t>BAD NIEUWESCHANS (SMURFIT KAPPA SB BV)</t>
  </si>
  <si>
    <t>EERBEEK (SANDERS COLDENHOVE)</t>
  </si>
  <si>
    <t>ALMERE (NUON POWER GENERATION B.V.-WKC)</t>
  </si>
  <si>
    <t>WORKUM (FRIESLANDCAMPINA CHEESE)</t>
  </si>
  <si>
    <t>HENGELO (SIEMENS NEDERLAND NV)</t>
  </si>
  <si>
    <t>DELFZIJL (GDF SUEZ ENERGIE NL-EEMS 3-7)</t>
  </si>
  <si>
    <t>HARLINGEN (REC BV)</t>
  </si>
  <si>
    <t>SCHIPHOL WEST (SCHIPHOL GROUP)</t>
  </si>
  <si>
    <t>LEIDEN (E.ON BENELUX ENERGY BV-SV)</t>
  </si>
  <si>
    <t>BOTLEK (AIR LIQUIDE INDUSTRIE BV: SMR)</t>
  </si>
  <si>
    <t>BOTLEK (AIR LIQUIDE INDUSTRIE BV: ATR)</t>
  </si>
  <si>
    <t>BOTLEK (AIR LIQUIDE IND. BV: EUROGEN)</t>
  </si>
  <si>
    <t>BEVERWIJK (HHN-SDI)</t>
  </si>
  <si>
    <t>EUROPOORT (INDORAMA HOLDINGS ROTTERDAM)</t>
  </si>
  <si>
    <t>BOTLEK (RUBIS TERMINAL BV)</t>
  </si>
  <si>
    <t>VLAARDINGEN (UNILEVER R&amp;D)</t>
  </si>
  <si>
    <t>BOTLEK (EMERALD KALAMA CHEMICALS BV)</t>
  </si>
  <si>
    <t>EUROPOORT (OCI TERMINAL)</t>
  </si>
  <si>
    <t>KROMMENIE (FORBO FLOORING BV)</t>
  </si>
  <si>
    <t>IJMUIDEN (TATA STEEL IJMUIDEN BV)</t>
  </si>
  <si>
    <t>ALKMAAR (NV HVC)</t>
  </si>
  <si>
    <t>PG MOERDIJK (ENEXIS B.V.)</t>
  </si>
  <si>
    <t>EINDHOVEN (ENNATUURLIJK WKC)</t>
  </si>
  <si>
    <t>ROOSENDAAL (SENSUS BV)</t>
  </si>
  <si>
    <t>VLISSINGEN (ZEELAND REFINERY)</t>
  </si>
  <si>
    <t>HELMOND (ENNATUURLIJK SV)</t>
  </si>
  <si>
    <t>BORN (FRIESLANDCAMPINA CHEESE)</t>
  </si>
  <si>
    <t>ROERMOND (SMURFIT KAPPA ROERMOND PAPIER)</t>
  </si>
  <si>
    <t>MAASBRACHT (ESSENT ENERGIE PROD-CLAUSC)</t>
  </si>
  <si>
    <t>MAASHEES (ENDINET)</t>
  </si>
  <si>
    <t>ETTEN-LEUR (ST-GOBAIN CONSTR.PROD.NED)</t>
  </si>
  <si>
    <t>SWALMEN (VAN HOUTUM BV)</t>
  </si>
  <si>
    <t>SAS VAN GENT (ROSIER NEDERLAND BV)</t>
  </si>
  <si>
    <t>HEERLEN (SIBELCO BENELUX)</t>
  </si>
  <si>
    <t>KERKRADE (JINDAL FILMS EUR. KERKRADE BV)</t>
  </si>
  <si>
    <t>LANDGRAAF (XELLA CELLENBETON NL BV)</t>
  </si>
  <si>
    <t>OUDE STATENZIJL RENATO (OGE)</t>
  </si>
  <si>
    <t>PG DEURNE (ENDINET)</t>
  </si>
  <si>
    <t>PG EINDHOVEN (ENDINET)</t>
  </si>
  <si>
    <t>ENSCHEDE (RWE-UGS EPE)</t>
  </si>
  <si>
    <t>BORCULO (FRIESLANDCAMPINA DOMO)</t>
  </si>
  <si>
    <t>PG BOXMEER (ENDINET)</t>
  </si>
  <si>
    <t>ZUIDWENDING (UGS)</t>
  </si>
  <si>
    <t>RIJNMOND (MAASSTROOM ENERGIE CV)</t>
  </si>
  <si>
    <t>BOCHOLTZ VETSCHAU (THYSSENGAS)</t>
  </si>
  <si>
    <t>BOTLEK (VOPAK TERMINAL BV)</t>
  </si>
  <si>
    <t>NG WADDINXVEEN (STEDIN)</t>
  </si>
  <si>
    <t>MAASBREE (WAYLAND NOVA BV)</t>
  </si>
  <si>
    <t>MAASVLAKTE (NESTE OIL NETHERLANDS BV)</t>
  </si>
  <si>
    <t>PERNIS (RECYCLING KOMBINATIE REKO BV)</t>
  </si>
  <si>
    <t>NG UDEN-ZEELAND (ENDINET)</t>
  </si>
  <si>
    <t>NG OBN-MIDDEN (ENDINET)</t>
  </si>
  <si>
    <t>NG OBN-WEST (ENDINET)</t>
  </si>
  <si>
    <t>NG HELMOND-MILHEEZE-MIERLO (ENDINET)</t>
  </si>
  <si>
    <t>EXIT 
(AT)</t>
  </si>
  <si>
    <t>EXIT 
(BAT)</t>
  </si>
  <si>
    <t>KOEDIJK (TAQA)</t>
  </si>
  <si>
    <t>WAALWIJK (VERMILION)</t>
  </si>
  <si>
    <t>BRAKEL WIJK&amp;AALBURG (VERMILION)</t>
  </si>
  <si>
    <t>ZWOLLE (NATUURGAS OVERIJSSEL B.V.)</t>
  </si>
  <si>
    <t>HEMRIK/DONKERBROEK (TULIP OIL)</t>
  </si>
  <si>
    <t>CPI 2012-2014</t>
  </si>
  <si>
    <t>Heffingsrente voor verrekening in jaar 2016</t>
  </si>
  <si>
    <t>nvt voor 2016</t>
  </si>
  <si>
    <t>Schatting GTS omzet shorthaul 2016</t>
  </si>
  <si>
    <t>Schatting GTS omzet verlegging 2016</t>
  </si>
  <si>
    <t>Schatting GTS omzet maatwerk 2016</t>
  </si>
  <si>
    <t>Balanceringsopbrengsten</t>
  </si>
  <si>
    <t>Inkoopkosten energie 2012</t>
  </si>
  <si>
    <t>Prognose inkoopkosten energie 2014</t>
  </si>
  <si>
    <t>Realisatie inkoopkosten energie 2014</t>
  </si>
  <si>
    <t>25% van verschil tussen prognose en realisatie (risico GTS)</t>
  </si>
  <si>
    <t>5% van prognose inkoopkosten energie 2014 (maximale risico GTS)</t>
  </si>
  <si>
    <t>Netto risico GTS</t>
  </si>
  <si>
    <t>Nacalculeren incl. heffingsrente</t>
  </si>
  <si>
    <t>Nacalculeren excl. heffingsrente</t>
  </si>
  <si>
    <t>Verschil realisatie en prognose</t>
  </si>
  <si>
    <t>Rekening omzetregulering (conform paragraaf 10.1 van het methodebesluit 2014-2016)</t>
  </si>
  <si>
    <t>Rekening overboeking- en terugkoopregeling (conform paragraaf 10.2 van het methodebesluit 2014-2016)</t>
  </si>
  <si>
    <t>Rekening veilinggelden (conform paragraaf 10.3 van het methodebesluit 2014-2016)</t>
  </si>
  <si>
    <t>Rekening inkoopkosten energie (conform paragraaf 10.4 van het methodebesluit 2014-2016)</t>
  </si>
  <si>
    <t>Balanceringsopbrengsten (conform paragraaf 10.5 van het methodebesluit 2014-2016)</t>
  </si>
  <si>
    <t>Saldo overboek- en terugkoopregeling 2014</t>
  </si>
  <si>
    <t>Kwaliteits-
conversie</t>
  </si>
  <si>
    <t>Bron: Financiele Data GTS 2014</t>
  </si>
  <si>
    <t>Verdeelsleutel t.b.v. kostentoerekening TT,BT en BAT</t>
  </si>
  <si>
    <t>Bron: x-factorbesluit</t>
  </si>
  <si>
    <t>Capaciteitsvergroting O-W CS Grijpskerk</t>
  </si>
  <si>
    <t>overgang MB</t>
  </si>
  <si>
    <t>Capaciteitsvergroting O-W</t>
  </si>
  <si>
    <t>Gasontvangstations</t>
  </si>
  <si>
    <t>Reduceerstations</t>
  </si>
  <si>
    <t>Aanpassen MS Kootstertille</t>
  </si>
  <si>
    <t>Mengstations</t>
  </si>
  <si>
    <t>artikel 54a Gw</t>
  </si>
  <si>
    <t>Mengstations (latere activering)</t>
  </si>
  <si>
    <t>IOS Beverwijk- Wijngaarden</t>
  </si>
  <si>
    <t>artikel 39e Gw</t>
  </si>
  <si>
    <t>OS 2012 Fase 1</t>
  </si>
  <si>
    <t>Compressorstations (latere activering)</t>
  </si>
  <si>
    <t>Leidingen (latere activering)</t>
  </si>
  <si>
    <t>Installaties (latere activering)</t>
  </si>
  <si>
    <t>OS 2012 Leiding Odiliapeel-Melick</t>
  </si>
  <si>
    <t>OS 2012 Verlenging A-624-10</t>
  </si>
  <si>
    <t>Leidingen  (latere activering)</t>
  </si>
  <si>
    <t>Regionale leidingen (latere activering)</t>
  </si>
  <si>
    <t>Reduceerstations (latere activering)</t>
  </si>
  <si>
    <t>OS 2012 Koppelleidingen  –  Peak Shaver</t>
  </si>
  <si>
    <t>OS 2005 CS Wijngaarden</t>
  </si>
  <si>
    <t>OS 2005 MR Wijngaarden</t>
  </si>
  <si>
    <t>M&amp;R stations (latere activering)</t>
  </si>
  <si>
    <t>Stikstofbuffer (latere activeringen Q1-Q2 2013)</t>
  </si>
  <si>
    <t>Stikstofbuffer (latere activering)</t>
  </si>
  <si>
    <t xml:space="preserve">Kosten - opbrengsten 2012 </t>
  </si>
  <si>
    <t xml:space="preserve">Kosten - opbrengsten 2011 </t>
  </si>
  <si>
    <t xml:space="preserve">Kosten - opbrengsten 2010 </t>
  </si>
  <si>
    <t>in prijspeil 2012</t>
  </si>
  <si>
    <t>Netto kosten van marktfaciliterende activiteiten 2010</t>
  </si>
  <si>
    <t>Netto kosten van marktfaciliterende activiteiten 2011</t>
  </si>
  <si>
    <t>Netto kosten van marktfaciliterende activiteiten 2012</t>
  </si>
  <si>
    <t>Gemiddelde netto kosten van marktfaciliterende activiteiten 2010-2012</t>
  </si>
  <si>
    <t>Berekening budget voor marktfaciliterende activiteiten 2014-2016</t>
  </si>
  <si>
    <t>Te vergoeden kosten van niet-reguliere uitbreidingsinvesteringen per taak</t>
  </si>
  <si>
    <t>Transport (entry/exit/connection)</t>
  </si>
  <si>
    <t>Bestaande aansluitingen</t>
  </si>
  <si>
    <t>Percentage toe te rekenen aan transport</t>
  </si>
  <si>
    <t>Percentage toe te rekenen aan bestaande aansluitingen</t>
  </si>
  <si>
    <t>Kosten toe te rekenen aan transport</t>
  </si>
  <si>
    <t>Kosten toe te rekenen aan bestaande aansluitingen</t>
  </si>
  <si>
    <t>Totale omzet uit tarieven</t>
  </si>
  <si>
    <t xml:space="preserve">Inflatie van inv. jaar naar: </t>
  </si>
  <si>
    <t>voor vergoeding in 2016</t>
  </si>
  <si>
    <t>Transport incl. heffingsrente</t>
  </si>
  <si>
    <t>Balancering incl. heffingsrente</t>
  </si>
  <si>
    <t>Kwaliteitsconversie incl. heffingsrente</t>
  </si>
  <si>
    <t xml:space="preserve">Transport (entry/exit/connection) </t>
  </si>
  <si>
    <t>Te vergoeden kosten per aansluitpunt</t>
  </si>
  <si>
    <t>Aansluitpunten - Berekening kosten per activering</t>
  </si>
  <si>
    <t>nvt</t>
  </si>
  <si>
    <t>Bron:</t>
  </si>
  <si>
    <t>Belastingdienst</t>
  </si>
  <si>
    <t>aantal verhandelde diensten</t>
  </si>
  <si>
    <t>Te vergoeden kosten van aansluitpunten o.b.v. investeringsuitgaven</t>
  </si>
  <si>
    <t>Rekenvolumina overige tarieven transporttaak</t>
  </si>
  <si>
    <t>Rekenvolumina aansluitpunten</t>
  </si>
  <si>
    <t>Voorgesteld bedrag GTS veilinggelden te gebruiken t.b.v. investering</t>
  </si>
  <si>
    <t>Voorgesteld bedrag GTS veilinggelden na te calculeren</t>
  </si>
  <si>
    <t>Effect bandbreedte 5%</t>
  </si>
  <si>
    <t>Heffingsrente voor vergoeding in 2016</t>
  </si>
  <si>
    <t>Bron: tarievenmodule 2015, tabblad 'controle'</t>
  </si>
  <si>
    <t>Bron: tarievenmodule 2014, tabblad 'controle'</t>
  </si>
  <si>
    <t>Toegestane inkomsten 2016  (t.b.v. nacalculaties)</t>
  </si>
  <si>
    <t>Tabel 11 - Exittarieven</t>
  </si>
  <si>
    <t>Tabel 12 - Connectiontarieven</t>
  </si>
  <si>
    <t>Tabel 13 - Overige tarieven</t>
  </si>
  <si>
    <t>Tabel 14 - AT-tarieven</t>
  </si>
  <si>
    <t>Veilinggelden 2014 (in prijspeil 2014)</t>
  </si>
  <si>
    <t>Saldo veilinggelden oud (in prijspeil 2015)</t>
  </si>
  <si>
    <t>Saldo veilinggelden nieuw (in prijspeil 2016)</t>
  </si>
  <si>
    <t xml:space="preserve">Heffingsrente voor vergoeding in 2016: </t>
  </si>
  <si>
    <t>Berekening gewogen gemiddelde transporttarief</t>
  </si>
  <si>
    <t>Inkomsten uit entry- en exittarieven excl. tariefcomponenten balancering en kwaliteitsconversie</t>
  </si>
  <si>
    <t>Inkomsten uit tariefcomponent balancering</t>
  </si>
  <si>
    <t>Inkomsten uit tariefcomponent kwaliteitsconversie</t>
  </si>
  <si>
    <t>Rekenvolume entry- en exit</t>
  </si>
  <si>
    <t>Gewogen gemiddelde transporttarief incl. tariefcomponenten balancering en kwaliteitsconversie</t>
  </si>
  <si>
    <t>Gewogen gemiddelde transporttarief excl. tariefcomponenten balancering en kwaliteitsconversie</t>
  </si>
  <si>
    <t>Tariefcomponent balancering</t>
  </si>
  <si>
    <t>Tariefcomponent kwaliteitsconversie</t>
  </si>
  <si>
    <t>BAT-tarief</t>
  </si>
  <si>
    <t>Gewogen gemiddelde AT-tarief</t>
  </si>
  <si>
    <t>Inkomsten uit AT-tarieven</t>
  </si>
  <si>
    <t>UI</t>
  </si>
  <si>
    <t>NPD</t>
  </si>
  <si>
    <t>MFA</t>
  </si>
  <si>
    <t>Rekening omzetregulering</t>
  </si>
  <si>
    <t>Rekening overboek- en terugkoopregeling</t>
  </si>
  <si>
    <t>Rekening veilinggelden</t>
  </si>
  <si>
    <t>Rekening inkoopkosten energie</t>
  </si>
  <si>
    <t xml:space="preserve">Tariefcorrecties </t>
  </si>
  <si>
    <t>Tarief 2016</t>
  </si>
  <si>
    <t>Omzet 2014</t>
  </si>
  <si>
    <t>Tarief 2014</t>
  </si>
  <si>
    <t>RV 2016, o.b.v. schatting GTS indien T-2 niet beschikbaar</t>
  </si>
  <si>
    <t>RV 2016 o.b.v. T-2 aangepast via generieke correctiefactor</t>
  </si>
  <si>
    <t>RV 2016 
o.b.v. T-2</t>
  </si>
  <si>
    <t>Correctiefactor RV</t>
  </si>
  <si>
    <t>Rekenvolumina balancering, kwaliteitsconversie en bestaande aansluiting</t>
  </si>
  <si>
    <t>Te vergoeden kosten in 2016</t>
  </si>
  <si>
    <t>5% bandbreedte</t>
  </si>
  <si>
    <t>Correctie verdeelsleutel 2014 en 2015</t>
  </si>
  <si>
    <t>Korting gasopslagen</t>
  </si>
  <si>
    <t>Tarief 2016 vóór correcties en korting gasopslag</t>
  </si>
  <si>
    <t>na correcties en vóór korting gasopslag</t>
  </si>
  <si>
    <t>Tarief 2016 na 25% korting voor gasopslagen</t>
  </si>
  <si>
    <t>Tarief na compensatie korting gasopslagen</t>
  </si>
  <si>
    <t>na correcties en na korting gasopslagen onafgerond</t>
  </si>
  <si>
    <t>na correcties en na korting gasopslagen afgerond</t>
  </si>
  <si>
    <t>na correcties en na korting gasopslagen incl. BT en KC afgerond</t>
  </si>
  <si>
    <t>Tarief 2015 vóór correcties en korting gasopslag</t>
  </si>
  <si>
    <t>Tarief 2015 vóór correcties en korting gasopslag
*(1+cpi-x)</t>
  </si>
  <si>
    <t>Omrekening jaartarief naar capaciteitstarief</t>
  </si>
  <si>
    <t>Jaartarief na correcties</t>
  </si>
  <si>
    <t>Capaciteitstarief na correcties</t>
  </si>
  <si>
    <t>Jaartarief 2016 vóór correcties</t>
  </si>
  <si>
    <t>Jaartarief 2015 vóór correcties
*(1+cpi-x)</t>
  </si>
  <si>
    <t>Jaartarief 2015 vóór correcties</t>
  </si>
  <si>
    <t>Capaciteitstarief na correcties onafgerond</t>
  </si>
  <si>
    <t>Capaciteitstarief na correcties afgerond</t>
  </si>
  <si>
    <t>Tarief 2015 vóór correcties</t>
  </si>
  <si>
    <t>Tarief 2015 vóór correcties
*(1+cpi-x)</t>
  </si>
  <si>
    <t>Balancerings-
opbrengsten</t>
  </si>
  <si>
    <t>na correcties onafgerond</t>
  </si>
  <si>
    <t>na correcties afgerond</t>
  </si>
  <si>
    <t xml:space="preserve">Tabel 9 - incidentele correcties </t>
  </si>
  <si>
    <t>Tabel 8 - Nacalculaties 2014-2016</t>
  </si>
  <si>
    <t>Tabel 7 - Marktfaciliterende activiteiten</t>
  </si>
  <si>
    <t>Tabel 6 - Nieuwe producten en diensten</t>
  </si>
  <si>
    <t>Tabel 5 - Uitbreidingsinvesteringen</t>
  </si>
  <si>
    <t xml:space="preserve">Tabel 4 - Correctie verdeelsleutel </t>
  </si>
  <si>
    <t>Bron: X-factormodel GTS, o.b.v. gewijzigde verdeelsleutel</t>
  </si>
  <si>
    <t xml:space="preserve">Bron: Financiele Data GTS 2014, verdeling transport, balancering en BAT via gewijzigde verdeelsleutel. </t>
  </si>
  <si>
    <t>module 2016?</t>
  </si>
  <si>
    <t xml:space="preserve">Niet-reguliere uitbreidingsinvesteringen opgegeven in tarievenmodule 2014 of 2015  voor vergoeding kosten in 2016 én niet-reguliere uitbreidingsinvesteringen </t>
  </si>
  <si>
    <t>voor het eerst opgegeven in tarievenmodule 2016 voor vergoeding kosten (2014), 2015 en 2016 conform paragraaf 10.8 Methodebesluit</t>
  </si>
  <si>
    <t>van investeringen vanaf 2014</t>
  </si>
  <si>
    <t>ter verg.in tar. 2016
incl. heffingsrente</t>
  </si>
  <si>
    <t>Kosten van niet-reguliere uitbreidingsinvesteringen ter vergoeding in 2016 transport</t>
  </si>
  <si>
    <t>Kosten van niet-reguliere uitbreidingsinvesteringen ter vergoeding in 2016 bestaande aansluitingen</t>
  </si>
  <si>
    <t>Kosten van niet-reguliere uitbreidingsinvesteringen ter vergoeding in 2016 balancering</t>
  </si>
  <si>
    <t>Kosten van niet-reguliere uitbreidingsinvesteringen ter vergoeding in 2016 kwaliteitsconversie</t>
  </si>
  <si>
    <t>NPD 2015 voor vergoeding in tarieven 2016</t>
  </si>
  <si>
    <t>Nieuw in module 2016?</t>
  </si>
  <si>
    <t>OPEX 2015</t>
  </si>
  <si>
    <t xml:space="preserve">Nieuw in module 2016? </t>
  </si>
  <si>
    <t>Kosten 2015&amp;2016 - Opbrengsten 2015</t>
  </si>
  <si>
    <t>ter vergoeding in tarieven 2016</t>
  </si>
  <si>
    <t>Budget voor marktfaciliterende activiteiten 2016</t>
  </si>
  <si>
    <t>Budget voor marktfaciliterende activiteiten 2016 per taak</t>
  </si>
  <si>
    <t>Budget voor marktfaciliterende activiteiten 2016 transport</t>
  </si>
  <si>
    <t>Budget voor marktfaciliterende activiteiten 2016 balancering</t>
  </si>
  <si>
    <t>Correcties jaartarief 2016</t>
  </si>
  <si>
    <t>Gewogen gemiddelde connection tarief</t>
  </si>
  <si>
    <t>Inkomsten uit connection tarieven</t>
  </si>
  <si>
    <t>Totale rekenvolume connection</t>
  </si>
  <si>
    <t>Totale rekenvolume aansluitpunten</t>
  </si>
  <si>
    <t>Berekening (gewogen gemiddelde) BAT/AT/Connection tarief</t>
  </si>
  <si>
    <t>Gerealiseerde inkomsten 2014</t>
  </si>
  <si>
    <t>Totale inkomsten vóór correcties 2016</t>
  </si>
  <si>
    <t>Totale inkomsten vóór correcties 2016 (entry/exit/connection)</t>
  </si>
  <si>
    <t>OVERIGE</t>
  </si>
  <si>
    <t>Totale inkomsten obv geschatte RV 2016 * tarief 2015*(1+cpi-x)</t>
  </si>
  <si>
    <t>Totale inkomsten 2016 vóór correcties</t>
  </si>
  <si>
    <t>Correctie tarieven 2016 a.g.v. wijzigen totale inkomsten 2014 en 2015 na correcties</t>
  </si>
  <si>
    <t>Correctie totale inkomsten 2014 na correcties excl. heffingsrente</t>
  </si>
  <si>
    <t>Correctie totale inkomsten 2014 na correcties incl. heffingsrente</t>
  </si>
  <si>
    <t>Correctie totale inkomsten 2015 na correcties excl. heffingsrente</t>
  </si>
  <si>
    <t>Correctie totale inkomsten 2015 na correcties incl. heffingsrente</t>
  </si>
  <si>
    <t>Correctie totale inkomsten 2014 en 2015 na correcties incl. heffingsrente</t>
  </si>
  <si>
    <t>Totale inkomsten 2016 vóór correcties per taak</t>
  </si>
  <si>
    <t xml:space="preserve">Totale inkomsten 2016 vóór correcties transport (entry/exit/connection) </t>
  </si>
  <si>
    <t>Totale inkomsten 2016 vóór correcties bestaande aansluiting</t>
  </si>
  <si>
    <t>Totale inkomsten 2016 vóór correcties balancering</t>
  </si>
  <si>
    <t>Totale inkomsten 2016 vóór correcties kwaliteitsconversie</t>
  </si>
  <si>
    <t>Tariefcorrectie</t>
  </si>
  <si>
    <t>Totale inkomsten 2016 vóór correcties transport (entry/exit/connection)</t>
  </si>
  <si>
    <t>Totale inkomsten 2014 na correcties</t>
  </si>
  <si>
    <t xml:space="preserve">Verschil </t>
  </si>
  <si>
    <t>Verschil incl. heffingsrente</t>
  </si>
  <si>
    <t>Tarief 2016 aangepast aan totale inkomsten 2016 vóór correcties</t>
  </si>
  <si>
    <t>tarief 2016 aangepast aan totale inkomsten 2016 vóór correcties</t>
  </si>
  <si>
    <t>Jaartarief 2016 aangepast aan totale inkomsten 2016 vóór correcties</t>
  </si>
  <si>
    <t>Tarief vóór correcties</t>
  </si>
  <si>
    <t>Jaartarief 2016</t>
  </si>
  <si>
    <t>Incidentele correctie over alle aansluitpunten</t>
  </si>
  <si>
    <t>Incidentele correctie per aansluitpunt</t>
  </si>
  <si>
    <t>Kosten 2016 vóór correcties</t>
  </si>
  <si>
    <t>Berekening Totale inkomsten 2016 na correcties</t>
  </si>
  <si>
    <t>Toets Totale inkomsten 2016 na correcties</t>
  </si>
  <si>
    <t>Totale inkomsten 2016 na correcties</t>
  </si>
  <si>
    <t>Correctie UI</t>
  </si>
  <si>
    <t>Correctie NPD</t>
  </si>
  <si>
    <t>Correctie MFA</t>
  </si>
  <si>
    <t>Correctie rekening omzetregulering</t>
  </si>
  <si>
    <t>Correctie rekening overboek- en terugkoopregeling</t>
  </si>
  <si>
    <t>Correctie rekening veilinggelden</t>
  </si>
  <si>
    <t>Correctie rekening inkoopkosten energie</t>
  </si>
  <si>
    <t>Correctie balanceringsopbrengsten</t>
  </si>
  <si>
    <t>Correctie incidentele correcties</t>
  </si>
  <si>
    <t>Correctie incidentele correctie per punt</t>
  </si>
  <si>
    <t>Berekening inkomsten 2016 uit tarieven en omzet uit diensten waar geen tarief voor wordt vastgesteld</t>
  </si>
  <si>
    <t>Verschil (moet 0 zijn)</t>
  </si>
  <si>
    <t>Bron: Financiële Data GTS 2014</t>
  </si>
  <si>
    <t>Berekening tarief vóór correcties en vóór toepassing bandbreedte</t>
  </si>
  <si>
    <t xml:space="preserve">Op de tarieven voor wheeling, diversion en overdracht TT gebruiksrecht wordt niet nagecalculeerd. Daarnaast stelt ACM voor shorthaul, verlegging en maatwerk geen ex ante tarieven vast. Ten behoeve van de berekening van nacalculaties voor de transporttaak zijn daarom de toegestane inkomsten voor entry/exit/connection nodig. </t>
  </si>
  <si>
    <t>Totale inkomsten 2014 vóór correcties obv onjuiste verdeelsleutel</t>
  </si>
  <si>
    <t>Totale inkomsten 2014 na correcties obv juiste verdeelsleutel</t>
  </si>
  <si>
    <t>Begininkomsten 2013 obv onjuiste verdeelsleutel</t>
  </si>
  <si>
    <t>Totale inkomsten 2014 na correcties obv onjuiste verdeelsleutel</t>
  </si>
  <si>
    <t>Totale inkomsten 2015 na correcties obv juiste verdeelsleutel</t>
  </si>
  <si>
    <t>Totale inkomsten 2016 vóór correcties obv onjuiste verdeelsleutel</t>
  </si>
  <si>
    <t>Totale inkomsten 2016 vóór correcties obv juiste verdeelsleutel</t>
  </si>
  <si>
    <t>Financieel gereed?</t>
  </si>
  <si>
    <t>Totale inkomsten vóór correcties per taak 2016</t>
  </si>
  <si>
    <t>Totaal RV 2016 o.b.v. schatting GTS (in kWh/h/y)</t>
  </si>
  <si>
    <t>Totaal RV 2016 o.b.v. T-2 (in kWh/h/y)</t>
  </si>
  <si>
    <t>Totaal RV 2016 o.b.v. schatting GTS indien T-2 niet beschibkaar  (in kWh/h/y)</t>
  </si>
  <si>
    <t xml:space="preserve">n.b. Betreft berekening om rekening te houden met inkomsten uit diensten waarvoor in het tarievenbesluit geen tarief wordt vastgesteld (shorthaul, verlegging en maatwerk). Het doel is om de tarieven zo goed mogelijk vast te stellen, zodat de verwachte totale omzet van GTS gelijk is aan de totale inkomsten 2016 na correcties.  De verwachte totale omzet van GTS bestaat uit de omzet op basis van de vast te stellen tarieven vermenigvuldigd met de rekenvolumina én de verwachte omzet van diensten waar ACM geen tarief voor vaststelt.  </t>
  </si>
  <si>
    <t>Aandeel OPEX op investering</t>
  </si>
  <si>
    <t>Bron: Methodebesluit 2014-2016</t>
  </si>
  <si>
    <t>Toevoeging OPEX voor in gebruik genomen investeringen</t>
  </si>
  <si>
    <t>NPD voor vergoeding in TV 2016</t>
  </si>
  <si>
    <t>Bron: x-factorbesluit o.b.v. onjuiste verdeelsleutel</t>
  </si>
  <si>
    <t>Totale inkomsten 2014 vóór correcties</t>
  </si>
  <si>
    <t>Totale inkomsten 2015 vóór correcties</t>
  </si>
  <si>
    <t>Begininkomsten 2013 per taak obv onjuiste verdeelsleutel</t>
  </si>
  <si>
    <t>Totale inkomsten 2014 vóór en na correcties obv onjuiste verdeelsleutel</t>
  </si>
  <si>
    <t>Totale inkomsten 2015 vóór en na correcties obv onjuiste verdeelsleutel</t>
  </si>
  <si>
    <t>Totale inkomsten 2015 na correcties</t>
  </si>
  <si>
    <t>Totale inkomsten 2015 vóór en na correcties per taak</t>
  </si>
  <si>
    <t>Totale inkomsten 2014 vóór en na correcties en gerealiseerde inkomsten 2014 per taak</t>
  </si>
  <si>
    <t>Totale inkomsten 2015 na correcties obv onjuiste verdeelsleutel</t>
  </si>
  <si>
    <t>Wijziging totale inkomsten 2014 na correcties</t>
  </si>
  <si>
    <t>Wijziging totale inkomsten 2015 na correcties</t>
  </si>
  <si>
    <t>Wijziging totale inkomsten 2016 vóór correcties</t>
  </si>
  <si>
    <t>Verschil</t>
  </si>
  <si>
    <t>Tariefwijziging als gevolg van wijziging totale inkomsten 2016 vóór correcties</t>
  </si>
  <si>
    <t xml:space="preserve">Door wijziging van de verdeelsleutel zijn ook de totale inkomsten 2016 vóór correcties gewijzigd. In deze tarievenmodule worden de tarieven vastgesteld zodat ze in lijn zijn met de juiste totale inkomsten 2016 vóór correcties. Een tariefcorrectie als gevolg van de wijziging van de totale inkomsten 2016 vóór correcties is dus niet nodig. Om toch inzichtelijk te maken wat het effect van deze wijziging op de tarieven is wordt hier berekend met welk percentage de tarieven voor de transporttaak en de bestaande aansluittaak wijzigen. De berekende tariefwijziging is echter reeds onderdeel van het tariefaanpassingspercentage dat op het tabblad 'TAR_Tab_3_Tariefaanpassing' wordt berekend. </t>
  </si>
  <si>
    <t>Totale inkomsten 2016 vóór correcties voor transport (entry/exit/connection) en bestaande aansluiting</t>
  </si>
  <si>
    <t>Verdeelsleutel t.b.v. kostentoerekening TT, BT en BAT</t>
  </si>
  <si>
    <t>Bron: besluit tot wijziging methodebesluit GTS 2014-2016 (kenmerk ACM/DE/2015/204641)</t>
  </si>
  <si>
    <t>Berekend o.b.v. tarievenmodule 2014 met gecorrigeerde begininkomsten 2013 en verdeelsleutel</t>
  </si>
  <si>
    <t>Berekend o.b.v. tarievenmodule 2015 met gecorrigeerde begininkomsten 2013 en verdeelsleutel</t>
  </si>
  <si>
    <t xml:space="preserve">Op dit tabblad wordt berekend met welk bedrag de tarieven 2016 voor de taken transport en bestaande aansluiting moeten wijzigen als gevolg van de correctie van de verdeelsleutel. Door de correctie van de verdeelsleutel wijzigen de begininkomsten 2013 en de totale inkomsten 2014 en 2015 vóór correcties. De verdeelsleutel wordt echter ook gebruikt bij het doorrekenen van de tariefcorrecties. Daarom wordt op dit tabblad het verschil berekend tussen de totale inkomsten 2014 en 2015 na correcties op basis van de oude verdeelsleutel en de totale inkomsten 2014 en 2015 na correcties op basis van de nieuwe verdeelsleutel. Daarvoor zijn  de volgende stappen doorlopen: 
(i) ACM heeft het x-factormodel gecorrigeerd waardoor de begininkomsten 2013 voor de transporttaak en de bestaande aansluitingtaak zijn gewijzigd
(ii) In de tarievenmodule van 2014 is de juiste verdeelsleutel toegepast zodat de kosten die nagecalculeerd worden correct worden toegerekend aan de taken transport en bestaande aansluiting. Daarnaast zijn in de tarievenmodule van 2014 de begininkomsten 2013 aangepast aan de gewijzigde begininkomsten 2013. Hierdoor worden de totale inkomsten 2014 na correcties juist berekend. Door in de tarievenmodule 2014 de juiste verdeelsleutel toe te passen en de begininkomsten 2013 te te wijzigen heeft ACM de gewijzigde totale inkomsten 2014 na correcties berekend. 
(iii) In de tarievenmodule van 2015 is de juiste verdeelsleutel toegepast zodat de kosten die nagecalculeerd worden correct worden toegerekend aan de taken transport en bestaande aansluiting. Daarnaast zijn in de tarievenmodule van 2015 de begininkomsten 2013 aangepast aan de gewijzigde begininkomsten 2013. Hierdoor worden de totale inkomsten 2015 na correcties juist berekend. Door in de tarievenmodule 2015 de juiste verdeelsleutel toe te passen en de begininkomsten 2013 aan te passen heeft ACM de gewijzigde totale inkomsten 2015 na correcties berekend. 
Op dit tabblad wordt het verschil berekend tussen de totale inkomsten 2014 en 2015 na correcties  obv van de juiste en de onjuiste verdeelsleutel. Dit verschil wordt vervolgens verwerkt in de tarieven van 2016. Ter indicatie wordt op dit tabblad ook berekend met welk percentage de tarieven wijzigen als gevolg van aanpassing van de totale inkomsten 2016 vóór correcties.
 </t>
  </si>
  <si>
    <t>Bron: gewijzigde parameters in bijlage x-factorbesluit GTS 2014-2016 (kenmerk ACM/DE/2015/204643)</t>
  </si>
  <si>
    <t xml:space="preserve">Onlangs heeft ACM de parameters zoals opgenomen in de bijlage bij het x-factorbesluit 2014-2016 voor GTS gewijzigd (besluit kenmerk ACM/DE/2015/204643) als gevolg van een correctie van de verdeelsleutel voor de bestaande aansluitingtaak (besluit kenmerk ACM/DE/2015/204641). De verdeelsleutel voor de bestaande aansluitingtaak zoals vastgesteld bij besluit van 26 september 2013 (ACM/DE/2013/204152) was gebaseerd op onvolledige gegevens en leidde tot een onjuiste kostentoerekening aan de taken transport en bestaande aansluiting in het x-factorbesluit GTS 2014-2016 zoals vastgesteld op 26 september 2013 (kenmerk ACM/DE/2013/204361). De verdeelsleutel was vastgesteld op 93,2% / 3,5% (TT/BAT). De juiste verdeelsleutel is 91,4% / 5,3% (TT/BAT). Door in het gecorrigeerde x-factormodel gebruik te maken van de gecorrigeerde verdeelsleutel zijn de begininkomsten 2013 veranderd. De begininkomsten 2013 voor de transporttaak zijn gedaald en de begininkomsten voor de bestaande aansluittaak zijn gestegen. De x-factoren zijn niet gewijzigd. 
Een gevolg van het corrigeren van de verdeelsleutel en daardoor de begininkomsten 2013 is dat met terugwerkende kracht ook de totale inkomsten 2014 en 2015 vóór en na correcties wijzigen. Ook wijzigen de totale inkomsten 2016 vóór correcties. Bovenstaand zijn de gewijzigde totale inkomsten 2014 en 2015 vóór en na correcties en de totale inkomsten 2016 vóór correcties weergegeven. Tevens wordt in deze tarievenmodule de gecorrigeerde verdeelsleutel gebruikt om bijvoorbeeld kosten van in gebruik genomen investeringen, die leiden tot een tariefcorrectie, op een juiste wijze toe te rekenen aan de taken transport en bestaande aansluiting. 
Door in deze module gebruik te maken van de gewijzigde totale inkomsten 2016 vóór correcties en door bij het berekenen van correcties gebruik te maken van de juiste verdeelsleutel worden de tarieven voor 2016 op het juiste niveau vastgesteld. De tarieven in de jaren 2014 en 2015 zijn echter niet op het juiste niveau vastgesteld. De tarieven voor de transporttaak zijn te hoog vastgesteld en de tarieven voor de bestaande aansluittaak te laag. In de tarieven van 2016 wordt hiervoor gecorrigeerd. 
Deze correctie wordt berekend op het tabblad 'TAR_Tab_4_Cor. verdeelsleutel'. Om deze correctie te berekenen en te kunnen scheiden van de omzetnacalculatie over 2014 zijn ook de ongecorrigeerde totale inkomsten 2014 en 2015 vóór en na correcties nodig. Deze zijn daarom hieronder weergegeven. Op het tabblad 'TAR_Tab_4_Cor. verdeelsleutel' wordt ter indicatie ook berekend met welke percentage te transporttarieven en BAT-tarieven wijzigen a.g.v. de correctie van de totale inkomsten 2016 vóór correcties. 
</t>
  </si>
  <si>
    <t>Entry/Exit</t>
  </si>
  <si>
    <t>Veilinggelden 2014 (incl. heffingsrente van 2014 naar 2016)</t>
  </si>
  <si>
    <t>Saldo veilinggelden oud (incl. heffingsrente van 2015 naar 2016)</t>
  </si>
  <si>
    <r>
      <t>Op alle netwerkpunten wordt het transporttarief in rekening gebracht voor het boeken van en</t>
    </r>
    <r>
      <rPr>
        <i/>
        <sz val="10"/>
        <color theme="1"/>
        <rFont val="Arial"/>
        <family val="2"/>
      </rPr>
      <t>try- of exitcapaciteit. De tariefcomponenten ter dekking van de kosten van balancering en kwaliteitsconversie zijn onderdeel van het transporttarief. Afhankelijk van het netwerkpunt kan er ook een tarief voor het in werking hebben en onderhouden van het aansluitpunt (AT-tarief), het in werking hebben of onderhouden van de bestaande aansluiting (BAT-tarief) of het in werking hebben en onderhouden van de systeemverbinding (connection tarief) in rekening worden</t>
    </r>
    <r>
      <rPr>
        <i/>
        <sz val="10"/>
        <rFont val="Arial"/>
        <family val="2"/>
      </rPr>
      <t xml:space="preserve"> gebracht. We berekenen hier het gewogen gemiddelde transporttarief ter indicatie van de tariefontwikkeling. Daarnaast berekenen we het </t>
    </r>
    <r>
      <rPr>
        <i/>
        <sz val="10"/>
        <rFont val="Arial"/>
        <family val="2"/>
      </rPr>
      <t xml:space="preserve">BAT-tarief , het gewogen gemiddelde AT-tarief en het gewogen gemiddelde connection tarief. </t>
    </r>
  </si>
  <si>
    <t>Tabel 15 - Controle</t>
  </si>
  <si>
    <t>Leidingen  (latere activeringen Q3-Q4 2014)</t>
  </si>
  <si>
    <t>Compressorstations (latere activeringen Q3-Q4 2014)</t>
  </si>
  <si>
    <t>Installaties (latere activeringen Q3-Q4 2014)</t>
  </si>
  <si>
    <t>Leidingen  (latere activeringen Q1-Q2 2015)</t>
  </si>
  <si>
    <t>Compressorstations (latere activeringen Q1-Q2 2015)</t>
  </si>
  <si>
    <t>Installaties (latere activeringen Q1-Q2 2015)</t>
  </si>
  <si>
    <t>Leidingen  (latere activeringen Q3-Q4 2013)</t>
  </si>
  <si>
    <t>Compressorstations (latere activeringen Q3-Q4 2013)</t>
  </si>
  <si>
    <t>Installaties (latere activeringen Q3-Q4 2013)</t>
  </si>
  <si>
    <t>Stikstofbuffer (latere activeringen Q3-Q4 2014)</t>
  </si>
  <si>
    <t>Stikstofbuffer (latere activeringen Q1-Q2 2015)</t>
  </si>
  <si>
    <t>Mengstations (latere activeringen Q3-Q4 2014)</t>
  </si>
  <si>
    <t>Leidingen (latere activeringen Q3-Q4 2014)</t>
  </si>
  <si>
    <t>Mengstations (latere activeringen Q1-Q2 2015)</t>
  </si>
  <si>
    <t>Leidingen (latere activeringen Q1-Q2 2015)</t>
  </si>
  <si>
    <t>Terreinen (latere activeringen Q3-Q4 2014)</t>
  </si>
  <si>
    <t>Hoofdtransportleiding (latere activeringen Q3-Q4 2014)</t>
  </si>
  <si>
    <t>Terreinen (latere activeringen Q1-Q2 2015)</t>
  </si>
  <si>
    <t>Hoofdtransportleiding (latere activeringen Q1-Q2 2015)</t>
  </si>
  <si>
    <t>IOS Westerschelde West - Cambron</t>
  </si>
  <si>
    <t>Hoofdtransportleiding</t>
  </si>
  <si>
    <t>IOS Aanpassingen diverse stations</t>
  </si>
  <si>
    <t>IOS Oudelandertocht</t>
  </si>
  <si>
    <t>Gasontvangstations (latere activeringen Q1-Q2 2015)</t>
  </si>
  <si>
    <t>Mengstations  (latere activeringen Q3-Q4 2014)</t>
  </si>
  <si>
    <t>Gasontvangstations (latere activeringen Q3-Q4 2014)</t>
  </si>
  <si>
    <t>M&amp;R stations (latere activeringen Q3-Q4 2014)</t>
  </si>
  <si>
    <t>Reduceerstations (latere activeringen Q3-Q4 2014)</t>
  </si>
  <si>
    <t>M&amp;R stations (latere activeringen Q1-Q2 2015)</t>
  </si>
  <si>
    <t>Reduceerstations (latere activeringen Q1-Q2 2015)</t>
  </si>
  <si>
    <t>MAASVLAKTE (PEAKSHAVER PRODUCTIE)</t>
  </si>
  <si>
    <t>hoofdtransportleiding (latere activeringen)</t>
  </si>
  <si>
    <t>Verdeelsleutels</t>
  </si>
  <si>
    <t>Verdeelsleutel naar taak TT, BT en BAT</t>
  </si>
  <si>
    <t>Incidentele correctie aansluitpunten: nacalculatie werkelijke en reeds vergoede kosten</t>
  </si>
  <si>
    <t>Na te calculeren 2014</t>
  </si>
  <si>
    <t>Na te calculeren 2015</t>
  </si>
  <si>
    <t>EUR pp 2014</t>
  </si>
  <si>
    <t>EUR pp 2015</t>
  </si>
  <si>
    <t>Incl heffingsrente EUR pp 2016</t>
  </si>
  <si>
    <t xml:space="preserve">Totaal na te calculeren </t>
  </si>
  <si>
    <t>EUR pp 2016</t>
  </si>
  <si>
    <t>Incidentele correctie netnorm nacalculatie &amp; Prisma en netnorm correctie</t>
  </si>
  <si>
    <t>Zie toelichting incidenteel</t>
  </si>
  <si>
    <t>Subtabel kosten</t>
  </si>
  <si>
    <t>Kosten per incidentele correctie</t>
  </si>
  <si>
    <t>Kosten 2014</t>
  </si>
  <si>
    <t>Netnorm: nacalculatie netnormkosten 2014</t>
  </si>
  <si>
    <t>Toe te rekenen kosten - opbrengsten incl. heffingsrente</t>
  </si>
  <si>
    <t>Verdeelsleutel voor tarieven</t>
  </si>
  <si>
    <t>%</t>
  </si>
  <si>
    <t>Tabel 16 - Berekening incidentele correcties aansluitpunten (nacalculatie werkelijke en reeds vergoede kosten)</t>
  </si>
  <si>
    <t>Vergoed in TB14 en TB15</t>
  </si>
  <si>
    <t>Reeds vergoede kosten excl heffingsrente</t>
  </si>
  <si>
    <t>BRON: TB14 en TB15</t>
  </si>
  <si>
    <t>BRON: TB15</t>
  </si>
  <si>
    <t>Reeds vergoede kosten over 2014</t>
  </si>
  <si>
    <t>Reeds vergoede kosten over 2015</t>
  </si>
  <si>
    <t xml:space="preserve">Kosten (OPEX en CAPEX) </t>
  </si>
  <si>
    <t>Te vergoeden kosten 2014</t>
  </si>
  <si>
    <t>Te vergoeden kosten 2015</t>
  </si>
  <si>
    <t>Na te calculeren verschil werkelijke versus reeds vergoede kosten</t>
  </si>
  <si>
    <t>NPD ONE obv werkelijk investeringsbedrag</t>
  </si>
  <si>
    <t>NPD TAQA obv werkelijk investeringsbedrag</t>
  </si>
  <si>
    <t>NPD ASTORA obv werkelijk investeringsbedrag</t>
  </si>
  <si>
    <t xml:space="preserve">Totaal </t>
  </si>
  <si>
    <t>local distribution point</t>
  </si>
  <si>
    <t>industrial point</t>
  </si>
  <si>
    <t>MEERSSEN (MARSNA PAPER BV)</t>
  </si>
  <si>
    <t>HOOGEVEEN ALTEVEERSTRAAT (DOC KAAS B.V.)</t>
  </si>
  <si>
    <t>NIJMEGEN (INNOVIOPAPERS B.V.)</t>
  </si>
  <si>
    <t>UTRECHT (WARMTE NEWCO B.V.)</t>
  </si>
  <si>
    <t>VLAARDINGEN (ALIPHOS ROTTERDAM BV)</t>
  </si>
  <si>
    <t>BOTLEK (KEMIRA ROTTERDAM B.V.)</t>
  </si>
  <si>
    <t>HOOGEVEEN BUITENVAART (DOC KAAS B.V.)</t>
  </si>
  <si>
    <t>BEMMEL (LINGEZEGEN ENERGY B.V. )</t>
  </si>
  <si>
    <t>closed distribution point</t>
  </si>
  <si>
    <t>DELFZIJL (PEROXYCHEM NL BV)</t>
  </si>
  <si>
    <t>NG FLEVOLAND (LIANDER)</t>
  </si>
  <si>
    <t>NG LEIDEN-KATWIJK (LIANDER)</t>
  </si>
  <si>
    <t>NG APELDOORN (LIANDER)</t>
  </si>
  <si>
    <t>NG SAAKSUM (ENEXIS)</t>
  </si>
  <si>
    <t>NG FRIESLAND ZUID-WEST (LIANDER)</t>
  </si>
  <si>
    <t>NG VOLLENHOVE (ENEXIS)</t>
  </si>
  <si>
    <t>NG NOORDOOSTPOLDER (LIANDER)</t>
  </si>
  <si>
    <t>NG LEEUWARDEN (LIANDER)</t>
  </si>
  <si>
    <t>NG HINDELOOPEN (LIANDER)</t>
  </si>
  <si>
    <t>NG OOSTEREND (LIANDER)</t>
  </si>
  <si>
    <t>NG FRIESLAND ZUID-OOST (LIANDER)</t>
  </si>
  <si>
    <t>NG FRIESLAND NOORD-WEST (LIANDER)</t>
  </si>
  <si>
    <t>NG FRIESLAND MIDDEN (LIANDER)</t>
  </si>
  <si>
    <t>NG WESTSTELLINGWERF (LIANDER)</t>
  </si>
  <si>
    <t>NG VLIELAND (LIANDER)</t>
  </si>
  <si>
    <t>ENTRY (TT)</t>
  </si>
  <si>
    <t>Toegestane inkomsten 2016 vóór correcties per taak</t>
  </si>
  <si>
    <t>Nacalculatie vindt plaats per aansluitpunt. Input (de berekening) is in tabel 9 te vinden. Output (de verwerking) is in tabel 14 te vinden.</t>
  </si>
  <si>
    <t>Aansluiting xxxxxxxxxx</t>
  </si>
  <si>
    <t>OS 2005 excl. xxxxxxxxxxxxx en MR/CS Wijngaarden fase 2</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</si>
</sst>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3" formatCode="_ * #,##0.00_ ;_ * \-#,##0.00_ ;_ * &quot;-&quot;??_ ;_ @_ "/>
    <numFmt numFmtId="164" formatCode="_-* #,##0_-;_-* #,##0\-;_-* &quot;-&quot;_-;_-@_-"/>
    <numFmt numFmtId="165" formatCode="_-* #,##0.00_-;_-* #,##0.00\-;_-* &quot;-&quot;??_-;_-@_-"/>
    <numFmt numFmtId="166" formatCode="_(&quot;fl&quot;\ * #,##0.00_);_(&quot;fl&quot;\ * \(#,##0.00\);_(&quot;fl&quot;\ * &quot;-&quot;??_);_(@_)"/>
    <numFmt numFmtId="167" formatCode="0.000"/>
    <numFmt numFmtId="168" formatCode="_-[$€]\ * #,##0.00_-;_-[$€]\ * #,##0.00\-;_-[$€]\ * &quot;-&quot;??_-;_-@_-"/>
    <numFmt numFmtId="169" formatCode="0.0000"/>
    <numFmt numFmtId="170" formatCode="0.0"/>
    <numFmt numFmtId="171" formatCode="0.000000"/>
    <numFmt numFmtId="172" formatCode="#,##0.000"/>
    <numFmt numFmtId="173" formatCode="_-* #,##0_-;_-* #,##0\-;_-* &quot;-&quot;??_-;_-@_-"/>
    <numFmt numFmtId="174" formatCode="0.0%"/>
    <numFmt numFmtId="175" formatCode="_([$€]* #,##0.00_);_([$€]* \(#,##0.00\);_([$€]* &quot;-&quot;??_);_(@_)"/>
    <numFmt numFmtId="176" formatCode="0.0&quot;x&quot;;@_)"/>
    <numFmt numFmtId="177" formatCode="_-* #,##0.0000_-;_-* #,##0.0000\-;_-* &quot;-&quot;??_-;_-@_-"/>
    <numFmt numFmtId="178" formatCode="_(* #,##0.00_);_(* \(#,##0.00\);_(* &quot;-&quot;??_);_(@_)"/>
    <numFmt numFmtId="179" formatCode="_-* #,##0.000_-;_-* #,##0.000\-;_-* &quot;-&quot;??_-;_-@_-"/>
    <numFmt numFmtId="180" formatCode="_-&quot;€&quot;\ * #,##0.00_-;_-&quot;€&quot;\ * #,##0.00\-;_-&quot;€&quot;\ * &quot;-&quot;??_-;_-@_-"/>
    <numFmt numFmtId="181" formatCode="_ * #,##0.000_ ;_ * \-#,##0.000_ ;_ * &quot;-&quot;???_ ;_ @_ "/>
    <numFmt numFmtId="182" formatCode="#,##0.0000_ ;\-#,##0.0000\ "/>
    <numFmt numFmtId="183" formatCode="#,##0_ ;\-#,##0\ "/>
    <numFmt numFmtId="184" formatCode="_ * #,##0_ ;_ * \-#,##0_ ;_ * &quot;-&quot;??_ ;_ @_ "/>
    <numFmt numFmtId="185" formatCode="_ * #,##0.00_ ;_ * \-#,##0.00_ ;_ * &quot;-&quot;???_ ;_ @_ "/>
    <numFmt numFmtId="186" formatCode="_-* #,##0.000_-;_-* #,##0\-;_-* &quot;-&quot;??_-;_-@_-"/>
    <numFmt numFmtId="187" formatCode="_ * #,##0_ ;_ * \-#,##0_ ;_ * &quot;-&quot;???_ ;_ @_ "/>
    <numFmt numFmtId="188" formatCode="_-\ * #,##0_-;_-\ * #,##0\-;_-\ * &quot;-&quot;??_-;_-@_-"/>
    <numFmt numFmtId="189" formatCode="_ * #,##0_ ;_ * \-#,##0_ ;_ * &quot;-&quot;???_ ;_ @_ \ "/>
  </numFmts>
  <fonts count="15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48"/>
      <name val="Arial"/>
      <family val="2"/>
    </font>
    <font>
      <sz val="12"/>
      <name val="Times New Roman"/>
      <family val="1"/>
    </font>
    <font>
      <sz val="10"/>
      <name val="Arial"/>
      <family val="2"/>
    </font>
    <font>
      <b/>
      <sz val="10"/>
      <name val="Arial"/>
      <family val="2"/>
    </font>
    <font>
      <b/>
      <sz val="12"/>
      <name val="Arial"/>
      <family val="2"/>
    </font>
    <font>
      <sz val="12"/>
      <name val="Arial"/>
      <family val="2"/>
    </font>
    <font>
      <sz val="12"/>
      <name val="DTLArgoT"/>
    </font>
    <font>
      <sz val="10"/>
      <name val="DTLArgoT"/>
    </font>
    <font>
      <b/>
      <sz val="18"/>
      <color indexed="9"/>
      <name val="Arial"/>
      <family val="2"/>
    </font>
    <font>
      <b/>
      <sz val="10"/>
      <color indexed="9"/>
      <name val="Arial"/>
      <family val="2"/>
    </font>
    <font>
      <sz val="10"/>
      <color indexed="9"/>
      <name val="Arial"/>
      <family val="2"/>
    </font>
    <font>
      <sz val="10"/>
      <name val="ScalaSans"/>
      <family val="2"/>
    </font>
    <font>
      <sz val="8"/>
      <name val="Arial"/>
      <family val="2"/>
    </font>
    <font>
      <i/>
      <sz val="12"/>
      <color indexed="9"/>
      <name val="Arial"/>
      <family val="2"/>
    </font>
    <font>
      <sz val="10"/>
      <color indexed="8"/>
      <name val="Arial"/>
      <family val="2"/>
    </font>
    <font>
      <sz val="11"/>
      <color indexed="9"/>
      <name val="Calibri"/>
      <family val="2"/>
    </font>
    <font>
      <sz val="11"/>
      <color indexed="8"/>
      <name val="Calibri"/>
      <family val="2"/>
    </font>
    <font>
      <b/>
      <sz val="11"/>
      <color indexed="52"/>
      <name val="Calibri"/>
      <family val="2"/>
    </font>
    <font>
      <b/>
      <sz val="11"/>
      <color indexed="17"/>
      <name val="Calibri"/>
      <family val="2"/>
    </font>
    <font>
      <b/>
      <sz val="11"/>
      <color indexed="9"/>
      <name val="Calibri"/>
      <family val="2"/>
    </font>
    <font>
      <b/>
      <sz val="11"/>
      <color indexed="8"/>
      <name val="Calibri"/>
      <family val="2"/>
    </font>
    <font>
      <sz val="10"/>
      <color indexed="8"/>
      <name val="MS Sans Serif"/>
      <family val="2"/>
    </font>
    <font>
      <sz val="11"/>
      <color indexed="52"/>
      <name val="Calibri"/>
      <family val="2"/>
    </font>
    <font>
      <sz val="11"/>
      <color indexed="17"/>
      <name val="Calibri"/>
      <family val="2"/>
    </font>
    <font>
      <sz val="11"/>
      <color indexed="48"/>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63"/>
      <name val="Calibri"/>
      <family val="2"/>
    </font>
    <font>
      <sz val="8"/>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0"/>
      <color indexed="8"/>
      <name val="Arial"/>
      <family val="2"/>
    </font>
    <font>
      <b/>
      <sz val="18"/>
      <color indexed="56"/>
      <name val="Cambria"/>
      <family val="2"/>
    </font>
    <font>
      <i/>
      <sz val="11"/>
      <color indexed="23"/>
      <name val="Calibri"/>
      <family val="2"/>
    </font>
    <font>
      <sz val="11"/>
      <color indexed="10"/>
      <name val="Calibri"/>
      <family val="2"/>
    </font>
    <font>
      <sz val="11"/>
      <color indexed="14"/>
      <name val="Calibri"/>
      <family val="2"/>
    </font>
    <font>
      <b/>
      <sz val="11"/>
      <color indexed="9"/>
      <name val="Arial"/>
      <family val="2"/>
    </font>
    <font>
      <sz val="10"/>
      <color indexed="10"/>
      <name val="Arial"/>
      <family val="2"/>
    </font>
    <font>
      <b/>
      <sz val="10"/>
      <color indexed="10"/>
      <name val="Arial"/>
      <family val="2"/>
    </font>
    <font>
      <sz val="9"/>
      <name val="Verdana"/>
      <family val="2"/>
    </font>
    <font>
      <b/>
      <sz val="10"/>
      <color indexed="8"/>
      <name val="Arial"/>
      <family val="2"/>
    </font>
    <font>
      <sz val="10"/>
      <color indexed="8"/>
      <name val="MS Sans Serif"/>
      <family val="2"/>
    </font>
    <font>
      <b/>
      <sz val="11"/>
      <name val="Arial"/>
      <family val="2"/>
    </font>
    <font>
      <sz val="11"/>
      <name val="Arial"/>
      <family val="2"/>
    </font>
    <font>
      <sz val="10"/>
      <color indexed="10"/>
      <name val="Arial"/>
      <family val="2"/>
    </font>
    <font>
      <i/>
      <sz val="12"/>
      <name val="Arial"/>
      <family val="2"/>
    </font>
    <font>
      <sz val="10"/>
      <color rgb="FFFF0000"/>
      <name val="Arial"/>
      <family val="2"/>
    </font>
    <font>
      <sz val="10"/>
      <color theme="0"/>
      <name val="Arial"/>
      <family val="2"/>
    </font>
    <font>
      <b/>
      <sz val="10"/>
      <color rgb="FFFF0000"/>
      <name val="Arial"/>
      <family val="2"/>
    </font>
    <font>
      <b/>
      <sz val="11"/>
      <color rgb="FFFF0000"/>
      <name val="Arial"/>
      <family val="2"/>
    </font>
    <font>
      <b/>
      <sz val="18"/>
      <color rgb="FFFF0000"/>
      <name val="Arial"/>
      <family val="2"/>
    </font>
    <font>
      <b/>
      <sz val="10"/>
      <color theme="0"/>
      <name val="Arial"/>
      <family val="2"/>
    </font>
    <font>
      <sz val="10"/>
      <color indexed="8"/>
      <name val="Verdana"/>
      <family val="2"/>
    </font>
    <font>
      <sz val="10"/>
      <color indexed="9"/>
      <name val="Verdana"/>
      <family val="2"/>
    </font>
    <font>
      <b/>
      <sz val="10"/>
      <color indexed="63"/>
      <name val="Verdana"/>
      <family val="2"/>
    </font>
    <font>
      <b/>
      <sz val="10"/>
      <color indexed="52"/>
      <name val="Verdana"/>
      <family val="2"/>
    </font>
    <font>
      <sz val="10"/>
      <color indexed="62"/>
      <name val="Verdana"/>
      <family val="2"/>
    </font>
    <font>
      <b/>
      <sz val="10"/>
      <color indexed="8"/>
      <name val="Verdana"/>
      <family val="2"/>
    </font>
    <font>
      <i/>
      <sz val="10"/>
      <color indexed="23"/>
      <name val="Verdana"/>
      <family val="2"/>
    </font>
    <font>
      <sz val="10"/>
      <color indexed="17"/>
      <name val="Verdana"/>
      <family val="2"/>
    </font>
    <font>
      <sz val="10"/>
      <color indexed="20"/>
      <name val="Verdana"/>
      <family val="2"/>
    </font>
    <font>
      <b/>
      <sz val="15"/>
      <color indexed="56"/>
      <name val="Verdana"/>
      <family val="2"/>
    </font>
    <font>
      <b/>
      <sz val="13"/>
      <color indexed="56"/>
      <name val="Verdana"/>
      <family val="2"/>
    </font>
    <font>
      <b/>
      <sz val="11"/>
      <color indexed="56"/>
      <name val="Verdana"/>
      <family val="2"/>
    </font>
    <font>
      <sz val="10"/>
      <color indexed="52"/>
      <name val="Verdana"/>
      <family val="2"/>
    </font>
    <font>
      <sz val="10"/>
      <color indexed="10"/>
      <name val="Verdana"/>
      <family val="2"/>
    </font>
    <font>
      <b/>
      <sz val="10"/>
      <color indexed="9"/>
      <name val="Verdana"/>
      <family val="2"/>
    </font>
    <font>
      <i/>
      <sz val="12"/>
      <color rgb="FFFF0000"/>
      <name val="Arial"/>
      <family val="2"/>
    </font>
    <font>
      <sz val="12"/>
      <color theme="0"/>
      <name val="Arial"/>
      <family val="2"/>
    </font>
    <font>
      <b/>
      <sz val="18"/>
      <color theme="0"/>
      <name val="Arial"/>
      <family val="2"/>
    </font>
    <font>
      <i/>
      <sz val="12"/>
      <color theme="0"/>
      <name val="Arial"/>
      <family val="2"/>
    </font>
    <font>
      <b/>
      <sz val="10"/>
      <color rgb="FF92D050"/>
      <name val="Arial"/>
      <family val="2"/>
    </font>
    <font>
      <sz val="11"/>
      <color rgb="FFFF0000"/>
      <name val="Arial"/>
      <family val="2"/>
    </font>
    <font>
      <sz val="8"/>
      <color indexed="62"/>
      <name val="Arial"/>
      <family val="2"/>
    </font>
    <font>
      <sz val="10"/>
      <color theme="1"/>
      <name val="Arial"/>
      <family val="2"/>
    </font>
    <font>
      <sz val="10"/>
      <color rgb="FF7030A0"/>
      <name val="Arial"/>
      <family val="2"/>
    </font>
    <font>
      <b/>
      <sz val="10"/>
      <color rgb="FF7030A0"/>
      <name val="Arial"/>
      <family val="2"/>
    </font>
    <font>
      <b/>
      <sz val="11"/>
      <color theme="0"/>
      <name val="Arial"/>
      <family val="2"/>
    </font>
    <font>
      <i/>
      <sz val="10"/>
      <color indexed="9"/>
      <name val="Arial"/>
      <family val="2"/>
    </font>
    <font>
      <b/>
      <sz val="10"/>
      <color theme="9" tint="-0.249977111117893"/>
      <name val="Arial"/>
      <family val="2"/>
    </font>
    <font>
      <sz val="10"/>
      <color theme="9" tint="-0.249977111117893"/>
      <name val="Arial"/>
      <family val="2"/>
    </font>
    <font>
      <b/>
      <sz val="18"/>
      <name val="Arial"/>
      <family val="2"/>
    </font>
    <font>
      <u/>
      <sz val="12"/>
      <color indexed="12"/>
      <name val="Times New Roman"/>
      <family val="1"/>
    </font>
    <font>
      <sz val="12"/>
      <color rgb="FFFF0000"/>
      <name val="Arial"/>
      <family val="2"/>
    </font>
    <font>
      <b/>
      <sz val="12"/>
      <color theme="0"/>
      <name val="Arial"/>
      <family val="2"/>
    </font>
    <font>
      <i/>
      <sz val="10"/>
      <name val="Arial"/>
      <family val="2"/>
    </font>
    <font>
      <i/>
      <sz val="10"/>
      <color rgb="FFFF0000"/>
      <name val="Arial"/>
      <family val="2"/>
    </font>
    <font>
      <u/>
      <sz val="10"/>
      <color indexed="12"/>
      <name val="Arial"/>
      <family val="2"/>
    </font>
    <font>
      <sz val="10"/>
      <color indexed="39"/>
      <name val="Arial"/>
      <family val="2"/>
    </font>
    <font>
      <b/>
      <sz val="12"/>
      <color indexed="8"/>
      <name val="Arial"/>
      <family val="2"/>
    </font>
    <font>
      <b/>
      <sz val="16"/>
      <color indexed="23"/>
      <name val="Arial"/>
      <family val="2"/>
    </font>
    <font>
      <strike/>
      <sz val="10"/>
      <color rgb="FFFF0000"/>
      <name val="Arial"/>
      <family val="2"/>
    </font>
    <font>
      <u/>
      <sz val="10"/>
      <color indexed="12"/>
      <name val="DTLArgoT"/>
    </font>
    <font>
      <sz val="10"/>
      <color theme="1" tint="0.499984740745262"/>
      <name val="Arial"/>
      <family val="2"/>
    </font>
    <font>
      <sz val="10"/>
      <color theme="0" tint="-0.499984740745262"/>
      <name val="Arial"/>
      <family val="2"/>
    </font>
    <font>
      <sz val="10"/>
      <color theme="0" tint="-0.34998626667073579"/>
      <name val="Arial"/>
      <family val="2"/>
    </font>
    <font>
      <sz val="10"/>
      <color theme="0" tint="-4.9989318521683403E-2"/>
      <name val="Arial"/>
      <family val="2"/>
    </font>
    <font>
      <b/>
      <sz val="10"/>
      <color theme="0" tint="-4.9989318521683403E-2"/>
      <name val="Arial"/>
      <family val="2"/>
    </font>
    <font>
      <b/>
      <sz val="11"/>
      <color theme="0" tint="-4.9989318521683403E-2"/>
      <name val="Arial"/>
      <family val="2"/>
    </font>
    <font>
      <b/>
      <sz val="12"/>
      <color rgb="FFFF0000"/>
      <name val="Arial"/>
      <family val="2"/>
    </font>
    <font>
      <sz val="18"/>
      <name val="Arial"/>
      <family val="2"/>
    </font>
    <font>
      <sz val="11"/>
      <color theme="0"/>
      <name val="Arial"/>
      <family val="2"/>
    </font>
    <font>
      <sz val="11"/>
      <color indexed="9"/>
      <name val="Arial"/>
      <family val="2"/>
    </font>
    <font>
      <i/>
      <sz val="10"/>
      <color theme="1"/>
      <name val="Arial"/>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sz val="11"/>
      <color rgb="FF006100"/>
      <name val="Calibri"/>
      <family val="2"/>
      <scheme val="minor"/>
    </font>
    <font>
      <sz val="11"/>
      <color rgb="FF9C6500"/>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indexed="37"/>
      <name val="Calibri"/>
      <family val="2"/>
    </font>
    <font>
      <i/>
      <sz val="10"/>
      <color indexed="18"/>
      <name val="Arial"/>
      <family val="2"/>
    </font>
    <font>
      <b/>
      <sz val="15"/>
      <color indexed="62"/>
      <name val="Calibri"/>
      <family val="2"/>
    </font>
    <font>
      <b/>
      <sz val="13"/>
      <color indexed="62"/>
      <name val="Calibri"/>
      <family val="2"/>
    </font>
    <font>
      <b/>
      <sz val="11"/>
      <color indexed="62"/>
      <name val="Calibri"/>
      <family val="2"/>
    </font>
    <font>
      <sz val="18"/>
      <color indexed="8"/>
      <name val="Arial"/>
      <family val="2"/>
    </font>
    <font>
      <b/>
      <i/>
      <sz val="12"/>
      <color theme="0"/>
      <name val="Arial"/>
      <family val="2"/>
    </font>
    <font>
      <b/>
      <i/>
      <sz val="18"/>
      <color theme="0"/>
      <name val="Arial"/>
      <family val="2"/>
    </font>
    <font>
      <i/>
      <sz val="18"/>
      <name val="Arial"/>
      <family val="2"/>
    </font>
    <font>
      <i/>
      <sz val="18"/>
      <color indexed="8"/>
      <name val="Arial"/>
      <family val="2"/>
    </font>
    <font>
      <b/>
      <sz val="16"/>
      <color indexed="9"/>
      <name val="Arial"/>
      <family val="2"/>
    </font>
    <font>
      <sz val="16"/>
      <name val="Arial"/>
      <family val="2"/>
    </font>
  </fonts>
  <fills count="131">
    <fill>
      <patternFill patternType="none"/>
    </fill>
    <fill>
      <patternFill patternType="gray125"/>
    </fill>
    <fill>
      <patternFill patternType="solid">
        <fgColor indexed="41"/>
      </patternFill>
    </fill>
    <fill>
      <patternFill patternType="solid">
        <fgColor indexed="40"/>
      </patternFill>
    </fill>
    <fill>
      <patternFill patternType="solid">
        <fgColor indexed="50"/>
      </patternFill>
    </fill>
    <fill>
      <patternFill patternType="solid">
        <fgColor indexed="35"/>
      </patternFill>
    </fill>
    <fill>
      <patternFill patternType="solid">
        <fgColor indexed="47"/>
      </patternFill>
    </fill>
    <fill>
      <patternFill patternType="solid">
        <fgColor indexed="22"/>
      </patternFill>
    </fill>
    <fill>
      <patternFill patternType="solid">
        <fgColor indexed="57"/>
      </patternFill>
    </fill>
    <fill>
      <patternFill patternType="solid">
        <fgColor indexed="24"/>
      </patternFill>
    </fill>
    <fill>
      <patternFill patternType="solid">
        <fgColor indexed="54"/>
      </patternFill>
    </fill>
    <fill>
      <patternFill patternType="solid">
        <fgColor indexed="58"/>
      </patternFill>
    </fill>
    <fill>
      <patternFill patternType="solid">
        <fgColor indexed="51"/>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2"/>
      </patternFill>
    </fill>
    <fill>
      <patternFill patternType="solid">
        <fgColor indexed="43"/>
      </patternFill>
    </fill>
    <fill>
      <patternFill patternType="solid">
        <fgColor indexed="26"/>
      </patternFill>
    </fill>
    <fill>
      <patternFill patternType="solid">
        <fgColor indexed="45"/>
      </patternFill>
    </fill>
    <fill>
      <patternFill patternType="solid">
        <fgColor indexed="43"/>
        <bgColor indexed="64"/>
      </patternFill>
    </fill>
    <fill>
      <patternFill patternType="solid">
        <fgColor indexed="49"/>
      </patternFill>
    </fill>
    <fill>
      <patternFill patternType="solid">
        <fgColor indexed="12"/>
      </patternFill>
    </fill>
    <fill>
      <patternFill patternType="solid">
        <fgColor indexed="10"/>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23"/>
      </patternFill>
    </fill>
    <fill>
      <patternFill patternType="solid">
        <fgColor indexed="44"/>
      </patternFill>
    </fill>
    <fill>
      <patternFill patternType="solid">
        <fgColor indexed="9"/>
      </patternFill>
    </fill>
    <fill>
      <patternFill patternType="solid">
        <fgColor indexed="15"/>
      </patternFill>
    </fill>
    <fill>
      <patternFill patternType="solid">
        <fgColor indexed="20"/>
      </patternFill>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indexed="47"/>
        <bgColor indexed="64"/>
      </patternFill>
    </fill>
    <fill>
      <patternFill patternType="solid">
        <fgColor indexed="41"/>
        <bgColor indexed="64"/>
      </patternFill>
    </fill>
    <fill>
      <patternFill patternType="solid">
        <fgColor indexed="18"/>
        <bgColor indexed="64"/>
      </patternFill>
    </fill>
    <fill>
      <patternFill patternType="solid">
        <fgColor theme="0"/>
        <bgColor indexed="64"/>
      </patternFill>
    </fill>
    <fill>
      <patternFill patternType="solid">
        <fgColor indexed="31"/>
      </patternFill>
    </fill>
    <fill>
      <patternFill patternType="solid">
        <fgColor indexed="46"/>
      </patternFill>
    </fill>
    <fill>
      <patternFill patternType="solid">
        <fgColor indexed="27"/>
      </patternFill>
    </fill>
    <fill>
      <patternFill patternType="solid">
        <fgColor indexed="29"/>
      </patternFill>
    </fill>
    <fill>
      <patternFill patternType="solid">
        <fgColor indexed="30"/>
      </patternFill>
    </fill>
    <fill>
      <patternFill patternType="solid">
        <fgColor indexed="36"/>
      </patternFill>
    </fill>
    <fill>
      <patternFill patternType="solid">
        <fgColor indexed="62"/>
      </patternFill>
    </fill>
    <fill>
      <patternFill patternType="solid">
        <fgColor rgb="FFFFFF99"/>
        <bgColor indexed="64"/>
      </patternFill>
    </fill>
    <fill>
      <patternFill patternType="solid">
        <fgColor indexed="26"/>
        <bgColor indexed="64"/>
      </patternFill>
    </fill>
    <fill>
      <patternFill patternType="solid">
        <fgColor indexed="46"/>
        <bgColor indexed="64"/>
      </patternFill>
    </fill>
    <fill>
      <patternFill patternType="solid">
        <fgColor indexed="34"/>
        <bgColor indexed="64"/>
      </patternFill>
    </fill>
    <fill>
      <patternFill patternType="solid">
        <fgColor theme="0" tint="-0.249977111117893"/>
        <bgColor indexed="64"/>
      </patternFill>
    </fill>
    <fill>
      <patternFill patternType="solid">
        <fgColor rgb="FFCCFFFF"/>
        <bgColor indexed="64"/>
      </patternFill>
    </fill>
    <fill>
      <patternFill patternType="solid">
        <fgColor rgb="FF000080"/>
        <bgColor indexed="64"/>
      </patternFill>
    </fill>
    <fill>
      <patternFill patternType="solid">
        <fgColor indexed="9"/>
        <bgColor theme="0"/>
      </patternFill>
    </fill>
    <fill>
      <patternFill patternType="solid">
        <fgColor rgb="FFC0C0C0"/>
        <bgColor rgb="FF000000"/>
      </patternFill>
    </fill>
    <fill>
      <patternFill patternType="solid">
        <fgColor rgb="FFFFCC99"/>
        <bgColor indexed="64"/>
      </patternFill>
    </fill>
    <fill>
      <patternFill patternType="solid">
        <fgColor indexed="52"/>
        <bgColor indexed="64"/>
      </patternFill>
    </fill>
    <fill>
      <patternFill patternType="solid">
        <fgColor indexed="50"/>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3"/>
        <bgColor indexed="64"/>
      </patternFill>
    </fill>
    <fill>
      <patternFill patternType="solid">
        <fgColor indexed="57"/>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31"/>
        <bgColor indexed="64"/>
      </patternFill>
    </fill>
    <fill>
      <patternFill patternType="solid">
        <fgColor indexed="23"/>
        <bgColor indexed="64"/>
      </patternFill>
    </fill>
    <fill>
      <patternFill patternType="solid">
        <fgColor indexed="55"/>
        <bgColor indexed="64"/>
      </patternFill>
    </fill>
    <fill>
      <patternFill patternType="solid">
        <fgColor rgb="FFFFFF99"/>
        <bgColor rgb="FFFFFF99"/>
      </patternFill>
    </fill>
    <fill>
      <patternFill patternType="solid">
        <fgColor rgb="FFFFCC99"/>
        <bgColor rgb="FFFFFF99"/>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C6EFCE"/>
      </patternFill>
    </fill>
    <fill>
      <patternFill patternType="solid">
        <fgColor rgb="FFFFEB9C"/>
      </patternFill>
    </fill>
    <fill>
      <patternFill patternType="solid">
        <fgColor indexed="40"/>
        <bgColor indexed="64"/>
      </patternFill>
    </fill>
    <fill>
      <patternFill patternType="solid">
        <fgColor indexed="60"/>
        <bgColor indexed="64"/>
      </patternFill>
    </fill>
    <fill>
      <patternFill patternType="solid">
        <fgColor theme="0" tint="-0.14999847407452621"/>
        <bgColor indexed="64"/>
      </patternFill>
    </fill>
    <fill>
      <patternFill patternType="solid">
        <fgColor theme="1"/>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48"/>
      </top>
      <bottom style="double">
        <color indexed="4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hair">
        <color indexed="64"/>
      </left>
      <right style="hair">
        <color indexed="64"/>
      </right>
      <top style="hair">
        <color indexed="64"/>
      </top>
      <bottom style="double">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medium">
        <color indexed="64"/>
      </top>
      <bottom style="hair">
        <color indexed="64"/>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theme="0"/>
      </left>
      <right/>
      <top/>
      <bottom/>
      <diagonal/>
    </border>
    <border>
      <left/>
      <right style="hair">
        <color theme="0"/>
      </right>
      <top/>
      <bottom/>
      <diagonal/>
    </border>
    <border>
      <left style="hair">
        <color theme="0"/>
      </left>
      <right/>
      <top/>
      <bottom style="hair">
        <color indexed="64"/>
      </bottom>
      <diagonal/>
    </border>
    <border>
      <left/>
      <right style="hair">
        <color theme="0"/>
      </right>
      <top/>
      <bottom style="hair">
        <color indexed="64"/>
      </bottom>
      <diagonal/>
    </border>
    <border>
      <left style="hair">
        <color theme="0"/>
      </left>
      <right style="hair">
        <color theme="0"/>
      </right>
      <top/>
      <bottom/>
      <diagonal/>
    </border>
    <border>
      <left/>
      <right style="thin">
        <color theme="0"/>
      </right>
      <top/>
      <bottom/>
      <diagonal/>
    </border>
    <border>
      <left style="thin">
        <color theme="0"/>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style="double">
        <color indexed="64"/>
      </bottom>
      <diagonal/>
    </border>
    <border>
      <left style="thin">
        <color indexed="64"/>
      </left>
      <right style="hair">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thick">
        <color indexed="48"/>
      </bottom>
      <diagonal/>
    </border>
    <border>
      <left/>
      <right/>
      <top/>
      <bottom style="thick">
        <color indexed="58"/>
      </bottom>
      <diagonal/>
    </border>
    <border>
      <left/>
      <right/>
      <top/>
      <bottom style="medium">
        <color indexed="58"/>
      </bottom>
      <diagonal/>
    </border>
  </borders>
  <cellStyleXfs count="2562">
    <xf numFmtId="0" fontId="0" fillId="0" borderId="0"/>
    <xf numFmtId="0" fontId="16" fillId="0" borderId="0"/>
    <xf numFmtId="0" fontId="11" fillId="0" borderId="0"/>
    <xf numFmtId="0" fontId="8" fillId="0" borderId="0"/>
    <xf numFmtId="0" fontId="8"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2"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3"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6" borderId="0" applyNumberFormat="0" applyBorder="0" applyAlignment="0" applyProtection="0"/>
    <xf numFmtId="0" fontId="19" fillId="11" borderId="0" applyNumberFormat="0" applyBorder="0" applyAlignment="0" applyProtection="0"/>
    <xf numFmtId="0" fontId="19" fillId="3"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5" fillId="18" borderId="0" applyNumberFormat="0" applyBorder="0" applyAlignment="0" applyProtection="0"/>
    <xf numFmtId="0" fontId="25" fillId="26" borderId="0" applyNumberFormat="0" applyBorder="0" applyAlignment="0" applyProtection="0"/>
    <xf numFmtId="0" fontId="24" fillId="19" borderId="0" applyNumberFormat="0" applyBorder="0" applyAlignment="0" applyProtection="0"/>
    <xf numFmtId="0" fontId="24" fillId="1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4" fillId="16" borderId="0" applyNumberFormat="0" applyBorder="0" applyAlignment="0" applyProtection="0"/>
    <xf numFmtId="0" fontId="24"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4" fillId="32"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168" fontId="30" fillId="0" borderId="0" applyFont="0" applyFill="0" applyBorder="0" applyAlignment="0" applyProtection="0"/>
    <xf numFmtId="165" fontId="8" fillId="0" borderId="0" applyFont="0" applyFill="0" applyBorder="0" applyAlignment="0" applyProtection="0"/>
    <xf numFmtId="0" fontId="8" fillId="0" borderId="0" applyNumberFormat="0" applyFill="0" applyBorder="0" applyAlignment="0" applyProtection="0"/>
    <xf numFmtId="0" fontId="56" fillId="0" borderId="0"/>
    <xf numFmtId="0" fontId="8" fillId="40" borderId="9" applyNumberFormat="0" applyFont="0" applyAlignment="0" applyProtection="0"/>
    <xf numFmtId="9" fontId="8" fillId="0" borderId="0" applyFont="0" applyFill="0" applyBorder="0" applyAlignment="0" applyProtection="0"/>
    <xf numFmtId="4" fontId="41" fillId="39" borderId="2" applyNumberFormat="0" applyProtection="0">
      <alignment vertical="center"/>
    </xf>
    <xf numFmtId="4" fontId="41" fillId="39" borderId="2" applyNumberFormat="0" applyProtection="0">
      <alignment vertical="center"/>
    </xf>
    <xf numFmtId="4" fontId="41" fillId="42" borderId="2" applyNumberFormat="0" applyProtection="0">
      <alignment horizontal="left" vertical="center" indent="1"/>
    </xf>
    <xf numFmtId="0" fontId="42" fillId="39" borderId="11" applyNumberFormat="0" applyProtection="0">
      <alignment horizontal="left" vertical="top" indent="1"/>
    </xf>
    <xf numFmtId="4" fontId="41" fillId="43" borderId="2" applyNumberFormat="0" applyProtection="0">
      <alignment horizontal="left" vertical="center" indent="1"/>
    </xf>
    <xf numFmtId="4" fontId="41" fillId="41" borderId="2" applyNumberFormat="0" applyProtection="0">
      <alignment horizontal="right" vertical="center"/>
    </xf>
    <xf numFmtId="4" fontId="41" fillId="44" borderId="2" applyNumberFormat="0" applyProtection="0">
      <alignment horizontal="right" vertical="center"/>
    </xf>
    <xf numFmtId="4" fontId="41" fillId="45" borderId="12" applyNumberFormat="0" applyProtection="0">
      <alignment horizontal="right" vertical="center"/>
    </xf>
    <xf numFmtId="4" fontId="41" fillId="12" borderId="2" applyNumberFormat="0" applyProtection="0">
      <alignment horizontal="right" vertical="center"/>
    </xf>
    <xf numFmtId="4" fontId="41" fillId="46" borderId="2" applyNumberFormat="0" applyProtection="0">
      <alignment horizontal="right" vertical="center"/>
    </xf>
    <xf numFmtId="4" fontId="41" fillId="47" borderId="2" applyNumberFormat="0" applyProtection="0">
      <alignment horizontal="right" vertical="center"/>
    </xf>
    <xf numFmtId="4" fontId="41" fillId="8" borderId="2" applyNumberFormat="0" applyProtection="0">
      <alignment horizontal="right" vertical="center"/>
    </xf>
    <xf numFmtId="4" fontId="41" fillId="4" borderId="2" applyNumberFormat="0" applyProtection="0">
      <alignment horizontal="right" vertical="center"/>
    </xf>
    <xf numFmtId="4" fontId="41" fillId="48" borderId="2" applyNumberFormat="0" applyProtection="0">
      <alignment horizontal="right" vertical="center"/>
    </xf>
    <xf numFmtId="4" fontId="41" fillId="49" borderId="12" applyNumberFormat="0" applyProtection="0">
      <alignment horizontal="left" vertical="center" indent="1"/>
    </xf>
    <xf numFmtId="4" fontId="11" fillId="10" borderId="12" applyNumberFormat="0" applyProtection="0">
      <alignment horizontal="left" vertical="center" indent="1"/>
    </xf>
    <xf numFmtId="4" fontId="11" fillId="10" borderId="12" applyNumberFormat="0" applyProtection="0">
      <alignment horizontal="left" vertical="center" indent="1"/>
    </xf>
    <xf numFmtId="4" fontId="41" fillId="3" borderId="2" applyNumberFormat="0" applyProtection="0">
      <alignment horizontal="right" vertical="center"/>
    </xf>
    <xf numFmtId="4" fontId="41" fillId="2" borderId="12" applyNumberFormat="0" applyProtection="0">
      <alignment horizontal="left" vertical="center" indent="1"/>
    </xf>
    <xf numFmtId="4" fontId="41" fillId="3" borderId="12" applyNumberFormat="0" applyProtection="0">
      <alignment horizontal="left" vertical="center" indent="1"/>
    </xf>
    <xf numFmtId="0" fontId="41" fillId="7" borderId="2" applyNumberFormat="0" applyProtection="0">
      <alignment horizontal="left" vertical="center" indent="1"/>
    </xf>
    <xf numFmtId="0" fontId="21" fillId="10" borderId="11" applyNumberFormat="0" applyProtection="0">
      <alignment horizontal="left" vertical="top" indent="1"/>
    </xf>
    <xf numFmtId="0" fontId="41" fillId="50" borderId="2" applyNumberFormat="0" applyProtection="0">
      <alignment horizontal="left" vertical="center" indent="1"/>
    </xf>
    <xf numFmtId="0" fontId="21" fillId="3" borderId="11" applyNumberFormat="0" applyProtection="0">
      <alignment horizontal="left" vertical="top" indent="1"/>
    </xf>
    <xf numFmtId="0" fontId="41" fillId="51" borderId="2" applyNumberFormat="0" applyProtection="0">
      <alignment horizontal="left" vertical="center" indent="1"/>
    </xf>
    <xf numFmtId="0" fontId="21" fillId="51" borderId="11" applyNumberFormat="0" applyProtection="0">
      <alignment horizontal="left" vertical="top" indent="1"/>
    </xf>
    <xf numFmtId="0" fontId="41" fillId="2" borderId="2" applyNumberFormat="0" applyProtection="0">
      <alignment horizontal="left" vertical="center" indent="1"/>
    </xf>
    <xf numFmtId="0" fontId="21" fillId="2" borderId="11" applyNumberFormat="0" applyProtection="0">
      <alignment horizontal="left" vertical="top" indent="1"/>
    </xf>
    <xf numFmtId="0" fontId="21" fillId="52" borderId="13" applyNumberFormat="0">
      <protection locked="0"/>
    </xf>
    <xf numFmtId="0" fontId="43" fillId="10" borderId="14" applyBorder="0"/>
    <xf numFmtId="4" fontId="44" fillId="40" borderId="11" applyNumberFormat="0" applyProtection="0">
      <alignment vertical="center"/>
    </xf>
    <xf numFmtId="4" fontId="41" fillId="40" borderId="15" applyNumberFormat="0" applyProtection="0">
      <alignment vertical="center"/>
    </xf>
    <xf numFmtId="4" fontId="44" fillId="7" borderId="11" applyNumberFormat="0" applyProtection="0">
      <alignment horizontal="left" vertical="center" indent="1"/>
    </xf>
    <xf numFmtId="0" fontId="44" fillId="40" borderId="11" applyNumberFormat="0" applyProtection="0">
      <alignment horizontal="left" vertical="top" indent="1"/>
    </xf>
    <xf numFmtId="4" fontId="41" fillId="0" borderId="2" applyNumberFormat="0" applyProtection="0">
      <alignment horizontal="right" vertical="center"/>
    </xf>
    <xf numFmtId="4" fontId="41" fillId="52" borderId="2" applyNumberFormat="0" applyProtection="0">
      <alignment horizontal="right" vertical="center"/>
    </xf>
    <xf numFmtId="4" fontId="41" fillId="43" borderId="2" applyNumberFormat="0" applyProtection="0">
      <alignment horizontal="left" vertical="center" indent="1"/>
    </xf>
    <xf numFmtId="0" fontId="44" fillId="3" borderId="11" applyNumberFormat="0" applyProtection="0">
      <alignment horizontal="left" vertical="top" indent="1"/>
    </xf>
    <xf numFmtId="4" fontId="45" fillId="53" borderId="12" applyNumberFormat="0" applyProtection="0">
      <alignment horizontal="left" vertical="center" indent="1"/>
    </xf>
    <xf numFmtId="0" fontId="41" fillId="54" borderId="15"/>
    <xf numFmtId="4" fontId="46" fillId="52" borderId="2" applyNumberFormat="0" applyProtection="0">
      <alignment horizontal="right" vertical="center"/>
    </xf>
    <xf numFmtId="0" fontId="47" fillId="0" borderId="0" applyNumberFormat="0" applyFill="0" applyBorder="0" applyAlignment="0" applyProtection="0"/>
    <xf numFmtId="0" fontId="48" fillId="0" borderId="0"/>
    <xf numFmtId="0" fontId="10" fillId="0" borderId="0"/>
    <xf numFmtId="0" fontId="8" fillId="0" borderId="0"/>
    <xf numFmtId="0" fontId="11" fillId="0" borderId="0"/>
    <xf numFmtId="0" fontId="56" fillId="0" borderId="0"/>
    <xf numFmtId="0" fontId="11" fillId="0" borderId="0"/>
    <xf numFmtId="0" fontId="58" fillId="0" borderId="0"/>
    <xf numFmtId="166" fontId="1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69" fillId="62" borderId="0" applyNumberFormat="0" applyBorder="0" applyAlignment="0" applyProtection="0"/>
    <xf numFmtId="0" fontId="69" fillId="41" borderId="0" applyNumberFormat="0" applyBorder="0" applyAlignment="0" applyProtection="0"/>
    <xf numFmtId="0" fontId="69" fillId="38" borderId="0" applyNumberFormat="0" applyBorder="0" applyAlignment="0" applyProtection="0"/>
    <xf numFmtId="0" fontId="69" fillId="63" borderId="0" applyNumberFormat="0" applyBorder="0" applyAlignment="0" applyProtection="0"/>
    <xf numFmtId="0" fontId="69" fillId="64" borderId="0" applyNumberFormat="0" applyBorder="0" applyAlignment="0" applyProtection="0"/>
    <xf numFmtId="0" fontId="69" fillId="6" borderId="0" applyNumberFormat="0" applyBorder="0" applyAlignment="0" applyProtection="0"/>
    <xf numFmtId="0" fontId="69" fillId="51" borderId="0" applyNumberFormat="0" applyBorder="0" applyAlignment="0" applyProtection="0"/>
    <xf numFmtId="0" fontId="69" fillId="65" borderId="0" applyNumberFormat="0" applyBorder="0" applyAlignment="0" applyProtection="0"/>
    <xf numFmtId="0" fontId="69" fillId="48" borderId="0" applyNumberFormat="0" applyBorder="0" applyAlignment="0" applyProtection="0"/>
    <xf numFmtId="0" fontId="69" fillId="63" borderId="0" applyNumberFormat="0" applyBorder="0" applyAlignment="0" applyProtection="0"/>
    <xf numFmtId="0" fontId="69" fillId="51" borderId="0" applyNumberFormat="0" applyBorder="0" applyAlignment="0" applyProtection="0"/>
    <xf numFmtId="0" fontId="69" fillId="12" borderId="0" applyNumberFormat="0" applyBorder="0" applyAlignment="0" applyProtection="0"/>
    <xf numFmtId="0" fontId="70" fillId="66" borderId="0" applyNumberFormat="0" applyBorder="0" applyAlignment="0" applyProtection="0"/>
    <xf numFmtId="0" fontId="70" fillId="65" borderId="0" applyNumberFormat="0" applyBorder="0" applyAlignment="0" applyProtection="0"/>
    <xf numFmtId="0" fontId="70" fillId="48" borderId="0" applyNumberFormat="0" applyBorder="0" applyAlignment="0" applyProtection="0"/>
    <xf numFmtId="0" fontId="70" fillId="67" borderId="0" applyNumberFormat="0" applyBorder="0" applyAlignment="0" applyProtection="0"/>
    <xf numFmtId="0" fontId="70" fillId="43" borderId="0" applyNumberFormat="0" applyBorder="0" applyAlignment="0" applyProtection="0"/>
    <xf numFmtId="0" fontId="70" fillId="46" borderId="0" applyNumberFormat="0" applyBorder="0" applyAlignment="0" applyProtection="0"/>
    <xf numFmtId="0" fontId="70" fillId="68" borderId="0" applyNumberFormat="0" applyBorder="0" applyAlignment="0" applyProtection="0"/>
    <xf numFmtId="0" fontId="70" fillId="45" borderId="0" applyNumberFormat="0" applyBorder="0" applyAlignment="0" applyProtection="0"/>
    <xf numFmtId="0" fontId="70" fillId="8" borderId="0" applyNumberFormat="0" applyBorder="0" applyAlignment="0" applyProtection="0"/>
    <xf numFmtId="0" fontId="70" fillId="67" borderId="0" applyNumberFormat="0" applyBorder="0" applyAlignment="0" applyProtection="0"/>
    <xf numFmtId="0" fontId="70" fillId="43" borderId="0" applyNumberFormat="0" applyBorder="0" applyAlignment="0" applyProtection="0"/>
    <xf numFmtId="0" fontId="70" fillId="47" borderId="0" applyNumberFormat="0" applyBorder="0" applyAlignment="0" applyProtection="0"/>
    <xf numFmtId="0" fontId="71" fillId="7" borderId="10" applyNumberFormat="0" applyAlignment="0" applyProtection="0"/>
    <xf numFmtId="0" fontId="39" fillId="41" borderId="0" applyNumberFormat="0" applyBorder="0" applyAlignment="0" applyProtection="0"/>
    <xf numFmtId="0" fontId="72" fillId="7" borderId="1" applyNumberFormat="0" applyAlignment="0" applyProtection="0"/>
    <xf numFmtId="0" fontId="26" fillId="7" borderId="1" applyNumberFormat="0" applyAlignment="0" applyProtection="0"/>
    <xf numFmtId="0" fontId="28" fillId="34" borderId="3" applyNumberFormat="0" applyAlignment="0" applyProtection="0"/>
    <xf numFmtId="0" fontId="73" fillId="6" borderId="1" applyNumberFormat="0" applyAlignment="0" applyProtection="0"/>
    <xf numFmtId="0" fontId="74" fillId="0" borderId="16" applyNumberFormat="0" applyFill="0" applyAlignment="0" applyProtection="0"/>
    <xf numFmtId="0" fontId="75" fillId="0" borderId="0" applyNumberFormat="0" applyFill="0" applyBorder="0" applyAlignment="0" applyProtection="0"/>
    <xf numFmtId="175" fontId="11" fillId="0" borderId="0" applyFont="0" applyFill="0" applyBorder="0" applyAlignment="0" applyProtection="0"/>
    <xf numFmtId="0" fontId="50" fillId="0" borderId="0" applyNumberFormat="0" applyFill="0" applyBorder="0" applyAlignment="0" applyProtection="0"/>
    <xf numFmtId="0" fontId="32" fillId="38" borderId="0" applyNumberFormat="0" applyBorder="0" applyAlignment="0" applyProtection="0"/>
    <xf numFmtId="0" fontId="76" fillId="38" borderId="0" applyNumberFormat="0" applyBorder="0" applyAlignment="0" applyProtection="0"/>
    <xf numFmtId="0" fontId="43" fillId="0" borderId="0"/>
    <xf numFmtId="0" fontId="35" fillId="0" borderId="5" applyNumberFormat="0" applyFill="0" applyAlignment="0" applyProtection="0"/>
    <xf numFmtId="0" fontId="36" fillId="0" borderId="6" applyNumberFormat="0" applyFill="0" applyAlignment="0" applyProtection="0"/>
    <xf numFmtId="0" fontId="37" fillId="0" borderId="7" applyNumberFormat="0" applyFill="0" applyAlignment="0" applyProtection="0"/>
    <xf numFmtId="0" fontId="37" fillId="0" borderId="0" applyNumberFormat="0" applyFill="0" applyBorder="0" applyAlignment="0" applyProtection="0"/>
    <xf numFmtId="0" fontId="34" fillId="6" borderId="1" applyNumberFormat="0" applyAlignment="0" applyProtection="0"/>
    <xf numFmtId="165" fontId="11" fillId="0" borderId="0" applyFont="0" applyFill="0" applyBorder="0" applyAlignment="0" applyProtection="0"/>
    <xf numFmtId="0" fontId="31" fillId="0" borderId="4" applyNumberFormat="0" applyFill="0" applyAlignment="0" applyProtection="0"/>
    <xf numFmtId="0" fontId="11" fillId="0" borderId="0" applyNumberFormat="0" applyFill="0" applyBorder="0" applyAlignment="0" applyProtection="0"/>
    <xf numFmtId="0" fontId="38" fillId="39" borderId="0" applyNumberFormat="0" applyBorder="0" applyAlignment="0" applyProtection="0"/>
    <xf numFmtId="0" fontId="11" fillId="40" borderId="9" applyNumberFormat="0" applyFont="0" applyAlignment="0" applyProtection="0"/>
    <xf numFmtId="0" fontId="69" fillId="40" borderId="9" applyNumberFormat="0" applyFont="0" applyAlignment="0" applyProtection="0"/>
    <xf numFmtId="0" fontId="40" fillId="7" borderId="10" applyNumberFormat="0" applyAlignment="0" applyProtection="0"/>
    <xf numFmtId="9" fontId="11" fillId="0" borderId="0" applyFont="0" applyFill="0" applyBorder="0" applyAlignment="0" applyProtection="0"/>
    <xf numFmtId="176" fontId="14" fillId="0" borderId="0" applyFont="0" applyFill="0" applyBorder="0" applyAlignment="0" applyProtection="0">
      <alignment horizontal="right"/>
    </xf>
    <xf numFmtId="0" fontId="77" fillId="41" borderId="0" applyNumberFormat="0" applyBorder="0" applyAlignment="0" applyProtection="0"/>
    <xf numFmtId="0" fontId="49" fillId="0" borderId="0" applyNumberFormat="0" applyFill="0" applyBorder="0" applyAlignment="0" applyProtection="0"/>
    <xf numFmtId="0" fontId="29" fillId="0" borderId="16" applyNumberFormat="0" applyFill="0" applyAlignment="0" applyProtection="0"/>
    <xf numFmtId="0" fontId="49" fillId="0" borderId="0" applyNumberFormat="0" applyFill="0" applyBorder="0" applyAlignment="0" applyProtection="0"/>
    <xf numFmtId="0" fontId="78" fillId="0" borderId="5" applyNumberFormat="0" applyFill="0" applyAlignment="0" applyProtection="0"/>
    <xf numFmtId="0" fontId="79" fillId="0" borderId="6" applyNumberFormat="0" applyFill="0" applyAlignment="0" applyProtection="0"/>
    <xf numFmtId="0" fontId="80" fillId="0" borderId="7" applyNumberFormat="0" applyFill="0" applyAlignment="0" applyProtection="0"/>
    <xf numFmtId="0" fontId="80" fillId="0" borderId="0" applyNumberFormat="0" applyFill="0" applyBorder="0" applyAlignment="0" applyProtection="0"/>
    <xf numFmtId="0" fontId="81" fillId="0" borderId="4" applyNumberFormat="0" applyFill="0" applyAlignment="0" applyProtection="0"/>
    <xf numFmtId="0" fontId="82" fillId="0" borderId="0" applyNumberFormat="0" applyFill="0" applyBorder="0" applyAlignment="0" applyProtection="0"/>
    <xf numFmtId="0" fontId="51" fillId="0" borderId="0" applyNumberFormat="0" applyFill="0" applyBorder="0" applyAlignment="0" applyProtection="0"/>
    <xf numFmtId="0" fontId="83" fillId="34" borderId="3" applyNumberFormat="0" applyAlignment="0" applyProtection="0"/>
    <xf numFmtId="0" fontId="8" fillId="0" borderId="0"/>
    <xf numFmtId="0" fontId="8" fillId="0" borderId="0"/>
    <xf numFmtId="0" fontId="7" fillId="0" borderId="0"/>
    <xf numFmtId="4" fontId="21" fillId="43" borderId="2" applyNumberFormat="0" applyProtection="0">
      <alignment horizontal="left" vertical="center" indent="1"/>
    </xf>
    <xf numFmtId="0" fontId="8" fillId="0" borderId="0"/>
    <xf numFmtId="165" fontId="8" fillId="0" borderId="0" applyFont="0" applyFill="0" applyBorder="0" applyAlignment="0" applyProtection="0"/>
    <xf numFmtId="0" fontId="23"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2"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3"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6" borderId="0" applyNumberFormat="0" applyBorder="0" applyAlignment="0" applyProtection="0"/>
    <xf numFmtId="0" fontId="19" fillId="11" borderId="0" applyNumberFormat="0" applyBorder="0" applyAlignment="0" applyProtection="0"/>
    <xf numFmtId="0" fontId="19" fillId="3"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6" fillId="7" borderId="1" applyNumberFormat="0" applyAlignment="0" applyProtection="0"/>
    <xf numFmtId="0" fontId="28" fillId="34" borderId="3" applyNumberFormat="0" applyAlignment="0" applyProtection="0"/>
    <xf numFmtId="0" fontId="31" fillId="0" borderId="4" applyNumberFormat="0" applyFill="0" applyAlignment="0" applyProtection="0"/>
    <xf numFmtId="0" fontId="32" fillId="38" borderId="0" applyNumberFormat="0" applyBorder="0" applyAlignment="0" applyProtection="0"/>
    <xf numFmtId="0" fontId="34" fillId="6" borderId="1" applyNumberFormat="0" applyAlignment="0" applyProtection="0"/>
    <xf numFmtId="165" fontId="8" fillId="0" borderId="0" applyFont="0" applyFill="0" applyBorder="0" applyAlignment="0" applyProtection="0"/>
    <xf numFmtId="0" fontId="35" fillId="0" borderId="5" applyNumberFormat="0" applyFill="0" applyAlignment="0" applyProtection="0"/>
    <xf numFmtId="0" fontId="36" fillId="0" borderId="6" applyNumberFormat="0" applyFill="0" applyAlignment="0" applyProtection="0"/>
    <xf numFmtId="0" fontId="37" fillId="0" borderId="7" applyNumberFormat="0" applyFill="0" applyAlignment="0" applyProtection="0"/>
    <xf numFmtId="0" fontId="37" fillId="0" borderId="0" applyNumberFormat="0" applyFill="0" applyBorder="0" applyAlignment="0" applyProtection="0"/>
    <xf numFmtId="0" fontId="8" fillId="0" borderId="0" applyNumberFormat="0" applyFill="0" applyBorder="0" applyAlignment="0" applyProtection="0"/>
    <xf numFmtId="0" fontId="38" fillId="39" borderId="0" applyNumberFormat="0" applyBorder="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39" fillId="41" borderId="0" applyNumberFormat="0" applyBorder="0" applyAlignment="0" applyProtection="0"/>
    <xf numFmtId="9" fontId="8" fillId="0" borderId="0" applyFont="0" applyFill="0" applyBorder="0" applyAlignment="0" applyProtection="0"/>
    <xf numFmtId="4" fontId="21" fillId="39" borderId="2" applyNumberFormat="0" applyProtection="0">
      <alignment vertical="center"/>
    </xf>
    <xf numFmtId="4" fontId="21" fillId="70" borderId="2" applyNumberFormat="0" applyProtection="0">
      <alignment vertical="center"/>
    </xf>
    <xf numFmtId="4" fontId="21" fillId="39" borderId="2" applyNumberFormat="0" applyProtection="0">
      <alignment vertical="center"/>
    </xf>
    <xf numFmtId="4" fontId="90" fillId="42" borderId="2" applyNumberFormat="0" applyProtection="0">
      <alignment vertical="center"/>
    </xf>
    <xf numFmtId="4" fontId="21" fillId="42" borderId="2" applyNumberFormat="0" applyProtection="0">
      <alignment horizontal="left" vertical="center" indent="1"/>
    </xf>
    <xf numFmtId="4" fontId="21" fillId="70" borderId="2" applyNumberFormat="0" applyProtection="0">
      <alignment horizontal="left" vertical="center" indent="1"/>
    </xf>
    <xf numFmtId="4" fontId="21" fillId="43" borderId="2" applyNumberFormat="0" applyProtection="0">
      <alignment horizontal="left" vertical="center" indent="1"/>
    </xf>
    <xf numFmtId="4" fontId="21" fillId="71" borderId="2" applyNumberFormat="0" applyBorder="0" applyProtection="0">
      <alignment horizontal="left" vertical="center" indent="1"/>
    </xf>
    <xf numFmtId="4" fontId="21" fillId="41" borderId="2" applyNumberFormat="0" applyProtection="0">
      <alignment horizontal="right" vertical="center"/>
    </xf>
    <xf numFmtId="4" fontId="21" fillId="41"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3" borderId="2" applyNumberFormat="0" applyProtection="0">
      <alignment horizontal="right" vertical="center"/>
    </xf>
    <xf numFmtId="4" fontId="21" fillId="3" borderId="2" applyNumberFormat="0" applyProtection="0">
      <alignment horizontal="right" vertical="center"/>
    </xf>
    <xf numFmtId="4" fontId="21" fillId="2" borderId="12" applyNumberFormat="0" applyProtection="0">
      <alignment horizontal="left" vertical="center" indent="1"/>
    </xf>
    <xf numFmtId="4" fontId="21" fillId="72"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0" fontId="21" fillId="7" borderId="2" applyNumberFormat="0" applyProtection="0">
      <alignment horizontal="left" vertical="center" indent="1"/>
    </xf>
    <xf numFmtId="0" fontId="21" fillId="6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4" fontId="21" fillId="40" borderId="15" applyNumberFormat="0" applyProtection="0">
      <alignment vertical="center"/>
    </xf>
    <xf numFmtId="4" fontId="90" fillId="70" borderId="15" applyNumberFormat="0" applyProtection="0">
      <alignmen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52" borderId="2" applyNumberFormat="0" applyProtection="0">
      <alignment horizontal="right" vertical="center"/>
    </xf>
    <xf numFmtId="4" fontId="90" fillId="57" borderId="2" applyNumberFormat="0" applyProtection="0">
      <alignment horizontal="right" vertical="center"/>
    </xf>
    <xf numFmtId="4" fontId="21" fillId="71" borderId="2" applyNumberFormat="0" applyProtection="0">
      <alignment horizontal="left" vertical="center" indent="1"/>
    </xf>
    <xf numFmtId="0" fontId="21" fillId="54" borderId="15"/>
    <xf numFmtId="0" fontId="21" fillId="54" borderId="15"/>
    <xf numFmtId="0" fontId="49" fillId="0" borderId="0" applyNumberFormat="0" applyFill="0" applyBorder="0" applyAlignment="0" applyProtection="0"/>
    <xf numFmtId="0" fontId="29" fillId="0" borderId="16" applyNumberFormat="0" applyFill="0" applyAlignment="0" applyProtection="0"/>
    <xf numFmtId="0" fontId="40" fillId="7" borderId="10"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8" fillId="0" borderId="0"/>
    <xf numFmtId="4" fontId="8" fillId="10" borderId="12" applyNumberFormat="0" applyProtection="0">
      <alignment horizontal="left" vertical="center" indent="1"/>
    </xf>
    <xf numFmtId="4" fontId="8" fillId="10" borderId="12" applyNumberFormat="0" applyProtection="0">
      <alignment horizontal="left" vertical="center" indent="1"/>
    </xf>
    <xf numFmtId="0" fontId="8" fillId="0" borderId="0" applyNumberFormat="0" applyFill="0" applyBorder="0" applyAlignment="0" applyProtection="0"/>
    <xf numFmtId="0" fontId="8" fillId="0" borderId="0" applyNumberFormat="0" applyFill="0" applyBorder="0" applyAlignment="0" applyProtection="0"/>
    <xf numFmtId="175" fontId="8" fillId="0" borderId="0" applyFont="0" applyFill="0" applyBorder="0" applyAlignment="0" applyProtection="0"/>
    <xf numFmtId="0" fontId="8" fillId="0" borderId="0" applyNumberFormat="0" applyFill="0" applyBorder="0" applyAlignment="0" applyProtection="0"/>
    <xf numFmtId="0" fontId="8" fillId="40" borderId="9"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3" fillId="0" borderId="0"/>
    <xf numFmtId="0" fontId="8" fillId="0" borderId="0"/>
    <xf numFmtId="0" fontId="8" fillId="0" borderId="0"/>
    <xf numFmtId="0" fontId="8" fillId="0" borderId="0"/>
    <xf numFmtId="0" fontId="8" fillId="0" borderId="0"/>
    <xf numFmtId="0" fontId="16" fillId="0" borderId="0"/>
    <xf numFmtId="0" fontId="26" fillId="7" borderId="1" applyNumberFormat="0" applyAlignment="0" applyProtection="0"/>
    <xf numFmtId="0" fontId="27" fillId="33" borderId="2" applyNumberFormat="0" applyAlignment="0" applyProtection="0"/>
    <xf numFmtId="0" fontId="99" fillId="0" borderId="0" applyNumberFormat="0" applyFill="0" applyBorder="0" applyAlignment="0" applyProtection="0">
      <alignment vertical="top"/>
      <protection locked="0"/>
    </xf>
    <xf numFmtId="0" fontId="33" fillId="31" borderId="2" applyNumberFormat="0" applyAlignment="0" applyProtection="0"/>
    <xf numFmtId="0" fontId="34" fillId="6" borderId="1" applyNumberFormat="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6" fillId="0" borderId="0" applyFont="0" applyFill="0" applyBorder="0" applyAlignment="0" applyProtection="0"/>
    <xf numFmtId="165" fontId="25" fillId="0" borderId="0" applyFont="0" applyFill="0" applyBorder="0" applyAlignment="0" applyProtection="0"/>
    <xf numFmtId="43" fontId="25" fillId="0" borderId="0" applyFont="0" applyFill="0" applyBorder="0" applyAlignment="0" applyProtection="0"/>
    <xf numFmtId="165" fontId="8" fillId="0" borderId="0" applyFont="0" applyFill="0" applyBorder="0" applyAlignment="0" applyProtection="0"/>
    <xf numFmtId="178" fontId="23" fillId="0" borderId="0" applyFont="0" applyFill="0" applyBorder="0" applyAlignment="0" applyProtection="0"/>
    <xf numFmtId="0" fontId="8" fillId="0" borderId="0" applyNumberFormat="0" applyFill="0" applyBorder="0" applyAlignment="0" applyProtection="0"/>
    <xf numFmtId="0" fontId="21" fillId="30" borderId="2"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40" fillId="33" borderId="10" applyNumberFormat="0" applyAlignment="0" applyProtection="0"/>
    <xf numFmtId="174" fontId="8" fillId="56" borderId="49" applyBorder="0" applyProtection="0">
      <alignment horizontal="center" vertical="center"/>
    </xf>
    <xf numFmtId="9" fontId="16" fillId="0" borderId="0" applyFont="0" applyFill="0" applyBorder="0" applyAlignment="0" applyProtection="0"/>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42" borderId="2" applyNumberFormat="0" applyProtection="0">
      <alignment horizontal="left" vertical="center" indent="1"/>
    </xf>
    <xf numFmtId="4" fontId="21" fillId="42" borderId="2" applyNumberFormat="0" applyProtection="0">
      <alignment horizontal="left" vertical="center" indent="1"/>
    </xf>
    <xf numFmtId="0" fontId="42" fillId="39" borderId="11" applyNumberFormat="0" applyProtection="0">
      <alignment horizontal="left" vertical="top"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1" borderId="2" applyNumberFormat="0" applyProtection="0">
      <alignment horizontal="right" vertical="center"/>
    </xf>
    <xf numFmtId="4" fontId="21" fillId="41"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21" fillId="3" borderId="2" applyNumberFormat="0" applyProtection="0">
      <alignment horizontal="right" vertical="center"/>
    </xf>
    <xf numFmtId="4" fontId="21" fillId="3" borderId="2" applyNumberFormat="0" applyProtection="0">
      <alignment horizontal="right" vertical="center"/>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10" borderId="11" applyNumberFormat="0" applyProtection="0">
      <alignment horizontal="left" vertical="top"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3" borderId="11" applyNumberFormat="0" applyProtection="0">
      <alignment horizontal="left" vertical="top"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11" applyNumberFormat="0" applyProtection="0">
      <alignment horizontal="left" vertical="top"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11" applyNumberFormat="0" applyProtection="0">
      <alignment horizontal="left" vertical="top" indent="1"/>
    </xf>
    <xf numFmtId="0" fontId="43" fillId="10" borderId="14" applyBorder="0"/>
    <xf numFmtId="4" fontId="44" fillId="40" borderId="11"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44" fillId="7" borderId="11" applyNumberFormat="0" applyProtection="0">
      <alignment horizontal="left" vertical="center" indent="1"/>
    </xf>
    <xf numFmtId="0" fontId="44" fillId="40" borderId="11" applyNumberFormat="0" applyProtection="0">
      <alignment horizontal="left" vertical="top" indent="1"/>
    </xf>
    <xf numFmtId="4" fontId="21" fillId="0" borderId="2" applyNumberFormat="0" applyProtection="0">
      <alignment horizontal="right" vertical="center"/>
    </xf>
    <xf numFmtId="4" fontId="21" fillId="0"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0" fontId="44" fillId="3" borderId="11" applyNumberFormat="0" applyProtection="0">
      <alignment horizontal="left" vertical="top" indent="1"/>
    </xf>
    <xf numFmtId="4" fontId="45" fillId="53" borderId="12" applyNumberFormat="0" applyProtection="0">
      <alignment horizontal="left" vertical="center" indent="1"/>
    </xf>
    <xf numFmtId="0" fontId="21" fillId="54" borderId="15"/>
    <xf numFmtId="0" fontId="21" fillId="54" borderId="15"/>
    <xf numFmtId="4" fontId="46" fillId="52" borderId="2" applyNumberFormat="0" applyProtection="0">
      <alignment horizontal="right" vertical="center"/>
    </xf>
    <xf numFmtId="0" fontId="23" fillId="0" borderId="0"/>
    <xf numFmtId="0" fontId="8" fillId="0" borderId="0"/>
    <xf numFmtId="0" fontId="8" fillId="0" borderId="0"/>
    <xf numFmtId="0" fontId="25" fillId="0" borderId="0"/>
    <xf numFmtId="0" fontId="8" fillId="0" borderId="0"/>
    <xf numFmtId="0" fontId="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6" fillId="0" borderId="0"/>
    <xf numFmtId="0" fontId="23" fillId="0" borderId="0"/>
    <xf numFmtId="0" fontId="8" fillId="0" borderId="0"/>
    <xf numFmtId="0" fontId="8" fillId="0" borderId="0"/>
    <xf numFmtId="0" fontId="8" fillId="0" borderId="0"/>
    <xf numFmtId="0" fontId="8" fillId="0" borderId="0"/>
    <xf numFmtId="0" fontId="8" fillId="0" borderId="0"/>
    <xf numFmtId="0" fontId="29" fillId="0" borderId="16" applyNumberFormat="0" applyFill="0" applyAlignment="0" applyProtection="0"/>
    <xf numFmtId="0" fontId="29" fillId="0" borderId="17" applyNumberFormat="0" applyFill="0" applyAlignment="0" applyProtection="0"/>
    <xf numFmtId="0" fontId="40" fillId="7" borderId="10" applyNumberFormat="0" applyAlignment="0" applyProtection="0"/>
    <xf numFmtId="0" fontId="10" fillId="0" borderId="0"/>
    <xf numFmtId="0" fontId="8" fillId="0" borderId="0" applyNumberFormat="0" applyFill="0" applyBorder="0" applyAlignment="0" applyProtection="0"/>
    <xf numFmtId="0" fontId="6" fillId="0" borderId="0"/>
    <xf numFmtId="0" fontId="8" fillId="0" borderId="0"/>
    <xf numFmtId="0" fontId="30" fillId="0" borderId="0"/>
    <xf numFmtId="0" fontId="8" fillId="0" borderId="0"/>
    <xf numFmtId="0" fontId="16" fillId="0" borderId="0"/>
    <xf numFmtId="0" fontId="8" fillId="0" borderId="0"/>
    <xf numFmtId="0" fontId="8" fillId="0" borderId="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7" fillId="33" borderId="2" applyNumberFormat="0" applyAlignment="0" applyProtection="0"/>
    <xf numFmtId="0" fontId="27" fillId="33" borderId="2" applyNumberFormat="0" applyAlignment="0" applyProtection="0"/>
    <xf numFmtId="0" fontId="27" fillId="33" borderId="2" applyNumberFormat="0" applyAlignment="0" applyProtection="0"/>
    <xf numFmtId="0" fontId="27" fillId="33" borderId="2" applyNumberFormat="0" applyAlignment="0" applyProtection="0"/>
    <xf numFmtId="0" fontId="27" fillId="33" borderId="2" applyNumberFormat="0" applyAlignment="0" applyProtection="0"/>
    <xf numFmtId="0" fontId="27" fillId="33" borderId="2" applyNumberFormat="0" applyAlignment="0" applyProtection="0"/>
    <xf numFmtId="0" fontId="27" fillId="33" borderId="2" applyNumberFormat="0" applyAlignment="0" applyProtection="0"/>
    <xf numFmtId="0" fontId="27" fillId="33" borderId="2" applyNumberFormat="0" applyAlignment="0" applyProtection="0"/>
    <xf numFmtId="180" fontId="8" fillId="0" borderId="0" applyFont="0" applyFill="0" applyBorder="0" applyAlignment="0" applyProtection="0"/>
    <xf numFmtId="168" fontId="30" fillId="0" borderId="0" applyFont="0" applyFill="0" applyBorder="0" applyAlignment="0" applyProtection="0"/>
    <xf numFmtId="0" fontId="104" fillId="0" borderId="0" applyNumberFormat="0" applyFill="0" applyBorder="0" applyAlignment="0" applyProtection="0">
      <alignment vertical="top"/>
      <protection locked="0"/>
    </xf>
    <xf numFmtId="0" fontId="33" fillId="31" borderId="2" applyNumberFormat="0" applyAlignment="0" applyProtection="0"/>
    <xf numFmtId="0" fontId="33" fillId="31" borderId="2" applyNumberFormat="0" applyAlignment="0" applyProtection="0"/>
    <xf numFmtId="0" fontId="33" fillId="31" borderId="2" applyNumberFormat="0" applyAlignment="0" applyProtection="0"/>
    <xf numFmtId="0" fontId="33" fillId="31" borderId="2" applyNumberFormat="0" applyAlignment="0" applyProtection="0"/>
    <xf numFmtId="0" fontId="33" fillId="31" borderId="2" applyNumberFormat="0" applyAlignment="0" applyProtection="0"/>
    <xf numFmtId="0" fontId="33" fillId="31" borderId="2" applyNumberFormat="0" applyAlignment="0" applyProtection="0"/>
    <xf numFmtId="0" fontId="33" fillId="31" borderId="2" applyNumberFormat="0" applyAlignment="0" applyProtection="0"/>
    <xf numFmtId="0" fontId="33" fillId="31" borderId="2"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178" fontId="8" fillId="0" borderId="0" applyFont="0" applyFill="0" applyBorder="0" applyAlignment="0" applyProtection="0"/>
    <xf numFmtId="0" fontId="21" fillId="30" borderId="2" applyNumberFormat="0" applyFont="0" applyAlignment="0" applyProtection="0"/>
    <xf numFmtId="0" fontId="21" fillId="30" borderId="2" applyNumberFormat="0" applyFont="0" applyAlignment="0" applyProtection="0"/>
    <xf numFmtId="0" fontId="21" fillId="30" borderId="2" applyNumberFormat="0" applyFont="0" applyAlignment="0" applyProtection="0"/>
    <xf numFmtId="0" fontId="21" fillId="30" borderId="2" applyNumberFormat="0" applyFont="0" applyAlignment="0" applyProtection="0"/>
    <xf numFmtId="0" fontId="21" fillId="30" borderId="2" applyNumberFormat="0" applyFont="0" applyAlignment="0" applyProtection="0"/>
    <xf numFmtId="0" fontId="21" fillId="30" borderId="2" applyNumberFormat="0" applyFont="0" applyAlignment="0" applyProtection="0"/>
    <xf numFmtId="0" fontId="21" fillId="30" borderId="2" applyNumberFormat="0" applyFont="0" applyAlignment="0" applyProtection="0"/>
    <xf numFmtId="0" fontId="21" fillId="30" borderId="2"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40" fillId="33" borderId="10" applyNumberFormat="0" applyAlignment="0" applyProtection="0"/>
    <xf numFmtId="0" fontId="40" fillId="33" borderId="10" applyNumberFormat="0" applyAlignment="0" applyProtection="0"/>
    <xf numFmtId="0" fontId="40" fillId="33" borderId="10" applyNumberFormat="0" applyAlignment="0" applyProtection="0"/>
    <xf numFmtId="0" fontId="40" fillId="33" borderId="10" applyNumberFormat="0" applyAlignment="0" applyProtection="0"/>
    <xf numFmtId="0" fontId="40" fillId="33" borderId="10" applyNumberFormat="0" applyAlignment="0" applyProtection="0"/>
    <xf numFmtId="0" fontId="40" fillId="33" borderId="10" applyNumberFormat="0" applyAlignment="0" applyProtection="0"/>
    <xf numFmtId="0" fontId="40" fillId="33" borderId="10" applyNumberFormat="0" applyAlignment="0" applyProtection="0"/>
    <xf numFmtId="0" fontId="40" fillId="33" borderId="10" applyNumberFormat="0" applyAlignment="0" applyProtection="0"/>
    <xf numFmtId="4" fontId="23" fillId="42" borderId="10"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105" fillId="42" borderId="10"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3" fillId="42" borderId="10"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3" fillId="42" borderId="10" applyNumberFormat="0" applyProtection="0">
      <alignment horizontal="left" vertical="center"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4" fontId="21" fillId="71" borderId="2" applyNumberFormat="0" applyBorder="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3" fillId="81" borderId="10"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3" fillId="82" borderId="10"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3" fillId="83" borderId="10"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3" fillId="84" borderId="10"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3" fillId="79" borderId="10"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3" fillId="85" borderId="10"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3" fillId="86" borderId="10"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3" fillId="80" borderId="10"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3" fillId="87" borderId="10"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57" fillId="88" borderId="10"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3" fillId="89" borderId="50"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106" fillId="90" borderId="0"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0" fontId="8" fillId="91" borderId="10" applyNumberFormat="0" applyProtection="0">
      <alignment horizontal="left" vertical="center" indent="1"/>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3" fillId="89" borderId="10"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3" fillId="92" borderId="10"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0" fontId="8" fillId="92" borderId="10"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8" fillId="92" borderId="10" applyNumberFormat="0" applyProtection="0">
      <alignment horizontal="left" vertical="center"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8" fillId="93" borderId="10"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8" fillId="93" borderId="10" applyNumberFormat="0" applyProtection="0">
      <alignment horizontal="left" vertical="center"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8" fillId="55" borderId="10"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8" fillId="55" borderId="10" applyNumberFormat="0" applyProtection="0">
      <alignment horizontal="left" vertical="center"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8" fillId="91" borderId="10"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8" fillId="91" borderId="10" applyNumberFormat="0" applyProtection="0">
      <alignment horizontal="left" vertical="center"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43" fillId="10" borderId="14" applyBorder="0"/>
    <xf numFmtId="0" fontId="43" fillId="10" borderId="14" applyBorder="0"/>
    <xf numFmtId="0" fontId="43" fillId="10" borderId="14" applyBorder="0"/>
    <xf numFmtId="0" fontId="43" fillId="10" borderId="14" applyBorder="0"/>
    <xf numFmtId="0" fontId="43" fillId="10" borderId="14" applyBorder="0"/>
    <xf numFmtId="0" fontId="43" fillId="10" borderId="14" applyBorder="0"/>
    <xf numFmtId="0" fontId="43" fillId="10" borderId="14" applyBorder="0"/>
    <xf numFmtId="0" fontId="43" fillId="10" borderId="14" applyBorder="0"/>
    <xf numFmtId="0" fontId="43" fillId="10" borderId="14" applyBorder="0"/>
    <xf numFmtId="4" fontId="23" fillId="70" borderId="10"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105" fillId="70" borderId="10"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3" fillId="70" borderId="10"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23" fillId="70" borderId="10" applyNumberFormat="0" applyProtection="0">
      <alignment horizontal="left" vertical="center"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4" fontId="23" fillId="89" borderId="10"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105" fillId="89" borderId="10"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0" fontId="8" fillId="91" borderId="10"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0" fontId="8" fillId="91" borderId="10" applyNumberFormat="0" applyProtection="0">
      <alignment horizontal="left" vertical="center"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107" fillId="0" borderId="0"/>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0" fontId="21" fillId="54" borderId="15"/>
    <xf numFmtId="0" fontId="21" fillId="54" borderId="15"/>
    <xf numFmtId="0" fontId="21" fillId="54" borderId="15"/>
    <xf numFmtId="0" fontId="21" fillId="54" borderId="15"/>
    <xf numFmtId="0" fontId="21" fillId="54" borderId="15"/>
    <xf numFmtId="0" fontId="21" fillId="54" borderId="15"/>
    <xf numFmtId="0" fontId="21" fillId="54" borderId="15"/>
    <xf numFmtId="0" fontId="21" fillId="54" borderId="15"/>
    <xf numFmtId="0" fontId="21" fillId="54" borderId="15"/>
    <xf numFmtId="0" fontId="21" fillId="54" borderId="15"/>
    <xf numFmtId="0" fontId="21" fillId="54" borderId="15"/>
    <xf numFmtId="0" fontId="21" fillId="54" borderId="15"/>
    <xf numFmtId="4" fontId="54" fillId="89" borderId="10"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0" fontId="8" fillId="0" borderId="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7" applyNumberFormat="0" applyFill="0" applyAlignment="0" applyProtection="0"/>
    <xf numFmtId="0" fontId="29" fillId="0" borderId="17" applyNumberFormat="0" applyFill="0" applyAlignment="0" applyProtection="0"/>
    <xf numFmtId="0" fontId="29" fillId="0" borderId="17" applyNumberFormat="0" applyFill="0" applyAlignment="0" applyProtection="0"/>
    <xf numFmtId="0" fontId="29" fillId="0" borderId="17" applyNumberFormat="0" applyFill="0" applyAlignment="0" applyProtection="0"/>
    <xf numFmtId="0" fontId="29" fillId="0" borderId="17" applyNumberFormat="0" applyFill="0" applyAlignment="0" applyProtection="0"/>
    <xf numFmtId="0" fontId="29" fillId="0" borderId="17" applyNumberFormat="0" applyFill="0" applyAlignment="0" applyProtection="0"/>
    <xf numFmtId="0" fontId="29" fillId="0" borderId="17" applyNumberFormat="0" applyFill="0" applyAlignment="0" applyProtection="0"/>
    <xf numFmtId="0" fontId="29" fillId="0" borderId="17" applyNumberFormat="0" applyFill="0" applyAlignment="0" applyProtection="0"/>
    <xf numFmtId="0" fontId="29" fillId="0" borderId="17" applyNumberFormat="0" applyFill="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6" fillId="0" borderId="0"/>
    <xf numFmtId="0" fontId="6" fillId="0" borderId="0"/>
    <xf numFmtId="0" fontId="6" fillId="0" borderId="0"/>
    <xf numFmtId="0" fontId="109" fillId="0" borderId="0" applyNumberFormat="0" applyFill="0" applyBorder="0" applyAlignment="0" applyProtection="0">
      <alignment vertical="top"/>
      <protection locked="0"/>
    </xf>
    <xf numFmtId="165" fontId="8" fillId="0" borderId="0" applyFont="0" applyFill="0" applyBorder="0" applyAlignment="0" applyProtection="0"/>
    <xf numFmtId="9" fontId="8" fillId="0" borderId="0" applyFont="0" applyFill="0" applyBorder="0" applyAlignment="0" applyProtection="0"/>
    <xf numFmtId="0" fontId="122" fillId="0" borderId="66" applyNumberFormat="0" applyFill="0" applyAlignment="0" applyProtection="0"/>
    <xf numFmtId="0" fontId="123" fillId="0" borderId="67" applyNumberFormat="0" applyFill="0" applyAlignment="0" applyProtection="0"/>
    <xf numFmtId="0" fontId="124" fillId="0" borderId="68" applyNumberFormat="0" applyFill="0" applyAlignment="0" applyProtection="0"/>
    <xf numFmtId="0" fontId="124" fillId="0" borderId="0" applyNumberFormat="0" applyFill="0" applyBorder="0" applyAlignment="0" applyProtection="0"/>
    <xf numFmtId="0" fontId="125" fillId="96" borderId="0" applyNumberFormat="0" applyBorder="0" applyAlignment="0" applyProtection="0"/>
    <xf numFmtId="0" fontId="126" fillId="97" borderId="69" applyNumberFormat="0" applyAlignment="0" applyProtection="0"/>
    <xf numFmtId="0" fontId="127" fillId="98" borderId="70" applyNumberFormat="0" applyAlignment="0" applyProtection="0"/>
    <xf numFmtId="0" fontId="128" fillId="99" borderId="71" applyNumberFormat="0" applyAlignment="0" applyProtection="0"/>
    <xf numFmtId="0" fontId="129" fillId="0" borderId="0" applyNumberFormat="0" applyFill="0" applyBorder="0" applyAlignment="0" applyProtection="0"/>
    <xf numFmtId="0" fontId="121" fillId="0" borderId="0" applyNumberFormat="0" applyFill="0" applyBorder="0" applyAlignment="0" applyProtection="0"/>
    <xf numFmtId="0" fontId="16" fillId="0" borderId="0"/>
    <xf numFmtId="0" fontId="8" fillId="0" borderId="0" applyNumberFormat="0" applyFill="0" applyBorder="0" applyAlignment="0" applyProtection="0"/>
    <xf numFmtId="0" fontId="8" fillId="0" borderId="0"/>
    <xf numFmtId="0" fontId="130" fillId="119" borderId="0" applyNumberFormat="0" applyBorder="0" applyAlignment="0" applyProtection="0"/>
    <xf numFmtId="0" fontId="5" fillId="101" borderId="0" applyNumberFormat="0" applyBorder="0" applyAlignment="0" applyProtection="0"/>
    <xf numFmtId="0" fontId="5" fillId="102" borderId="0" applyNumberFormat="0" applyBorder="0" applyAlignment="0" applyProtection="0"/>
    <xf numFmtId="0" fontId="5" fillId="103" borderId="0" applyNumberFormat="0" applyBorder="0" applyAlignment="0" applyProtection="0"/>
    <xf numFmtId="0" fontId="5" fillId="104" borderId="0" applyNumberFormat="0" applyBorder="0" applyAlignment="0" applyProtection="0"/>
    <xf numFmtId="0" fontId="5" fillId="105" borderId="0" applyNumberFormat="0" applyBorder="0" applyAlignment="0" applyProtection="0"/>
    <xf numFmtId="0" fontId="5" fillId="106" borderId="0" applyNumberFormat="0" applyBorder="0" applyAlignment="0" applyProtection="0"/>
    <xf numFmtId="0" fontId="5" fillId="107" borderId="0" applyNumberFormat="0" applyBorder="0" applyAlignment="0" applyProtection="0"/>
    <xf numFmtId="0" fontId="5" fillId="108" borderId="0" applyNumberFormat="0" applyBorder="0" applyAlignment="0" applyProtection="0"/>
    <xf numFmtId="0" fontId="5" fillId="109" borderId="0" applyNumberFormat="0" applyBorder="0" applyAlignment="0" applyProtection="0"/>
    <xf numFmtId="0" fontId="5" fillId="110" borderId="0" applyNumberFormat="0" applyBorder="0" applyAlignment="0" applyProtection="0"/>
    <xf numFmtId="0" fontId="5" fillId="111" borderId="0" applyNumberFormat="0" applyBorder="0" applyAlignment="0" applyProtection="0"/>
    <xf numFmtId="0" fontId="5" fillId="112" borderId="0" applyNumberFormat="0" applyBorder="0" applyAlignment="0" applyProtection="0"/>
    <xf numFmtId="0" fontId="130" fillId="120" borderId="0" applyNumberFormat="0" applyBorder="0" applyAlignment="0" applyProtection="0"/>
    <xf numFmtId="0" fontId="130" fillId="113" borderId="0" applyNumberFormat="0" applyBorder="0" applyAlignment="0" applyProtection="0"/>
    <xf numFmtId="0" fontId="130" fillId="114" borderId="0" applyNumberFormat="0" applyBorder="0" applyAlignment="0" applyProtection="0"/>
    <xf numFmtId="0" fontId="130" fillId="115" borderId="0" applyNumberFormat="0" applyBorder="0" applyAlignment="0" applyProtection="0"/>
    <xf numFmtId="0" fontId="130" fillId="116" borderId="0" applyNumberFormat="0" applyBorder="0" applyAlignment="0" applyProtection="0"/>
    <xf numFmtId="0" fontId="130" fillId="117" borderId="0" applyNumberFormat="0" applyBorder="0" applyAlignment="0" applyProtection="0"/>
    <xf numFmtId="0" fontId="130" fillId="118" borderId="0" applyNumberFormat="0" applyBorder="0" applyAlignment="0" applyProtection="0"/>
    <xf numFmtId="0" fontId="130" fillId="119" borderId="0" applyNumberFormat="0" applyBorder="0" applyAlignment="0" applyProtection="0"/>
    <xf numFmtId="0" fontId="130" fillId="121" borderId="0" applyNumberFormat="0" applyBorder="0" applyAlignment="0" applyProtection="0"/>
    <xf numFmtId="0" fontId="130" fillId="120" borderId="0" applyNumberFormat="0" applyBorder="0" applyAlignment="0" applyProtection="0"/>
    <xf numFmtId="0" fontId="130" fillId="122" borderId="0" applyNumberFormat="0" applyBorder="0" applyAlignment="0" applyProtection="0"/>
    <xf numFmtId="0" fontId="130" fillId="121" borderId="0" applyNumberFormat="0" applyBorder="0" applyAlignment="0" applyProtection="0"/>
    <xf numFmtId="0" fontId="130" fillId="123" borderId="0" applyNumberFormat="0" applyBorder="0" applyAlignment="0" applyProtection="0"/>
    <xf numFmtId="0" fontId="130" fillId="122" borderId="0" applyNumberFormat="0" applyBorder="0" applyAlignment="0" applyProtection="0"/>
    <xf numFmtId="0" fontId="130" fillId="124" borderId="0" applyNumberFormat="0" applyBorder="0" applyAlignment="0" applyProtection="0"/>
    <xf numFmtId="0" fontId="130" fillId="123" borderId="0" applyNumberFormat="0" applyBorder="0" applyAlignment="0" applyProtection="0"/>
    <xf numFmtId="0" fontId="130" fillId="124" borderId="0" applyNumberFormat="0" applyBorder="0" applyAlignment="0" applyProtection="0"/>
    <xf numFmtId="0" fontId="131" fillId="98" borderId="69" applyNumberFormat="0" applyAlignment="0" applyProtection="0"/>
    <xf numFmtId="0" fontId="26" fillId="7" borderId="1" applyNumberFormat="0" applyAlignment="0" applyProtection="0"/>
    <xf numFmtId="168" fontId="30" fillId="0" borderId="0" applyFont="0" applyFill="0" applyBorder="0" applyAlignment="0" applyProtection="0"/>
    <xf numFmtId="0" fontId="132" fillId="0" borderId="73" applyNumberFormat="0" applyFill="0" applyAlignment="0" applyProtection="0"/>
    <xf numFmtId="0" fontId="133" fillId="125" borderId="0" applyNumberFormat="0" applyBorder="0" applyAlignment="0" applyProtection="0"/>
    <xf numFmtId="0" fontId="32" fillId="38"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31" fillId="0" borderId="4" applyNumberFormat="0" applyFill="0" applyAlignment="0" applyProtection="0"/>
    <xf numFmtId="0" fontId="8" fillId="0" borderId="0" applyNumberFormat="0" applyFill="0" applyBorder="0" applyAlignment="0" applyProtection="0"/>
    <xf numFmtId="0" fontId="134" fillId="126" borderId="0" applyNumberFormat="0" applyBorder="0" applyAlignment="0" applyProtection="0"/>
    <xf numFmtId="0" fontId="38" fillId="39" borderId="0" applyNumberFormat="0" applyBorder="0" applyAlignment="0" applyProtection="0"/>
    <xf numFmtId="0" fontId="5" fillId="100" borderId="72" applyNumberFormat="0" applyFont="0" applyAlignment="0" applyProtection="0"/>
    <xf numFmtId="9" fontId="5" fillId="0" borderId="0" applyFont="0" applyFill="0" applyBorder="0" applyAlignment="0" applyProtection="0"/>
    <xf numFmtId="0" fontId="130" fillId="124" borderId="0" applyNumberFormat="0" applyBorder="0" applyAlignment="0" applyProtection="0"/>
    <xf numFmtId="0" fontId="130" fillId="124" borderId="0" applyNumberFormat="0" applyBorder="0" applyAlignment="0" applyProtection="0"/>
    <xf numFmtId="0" fontId="130" fillId="123" borderId="0" applyNumberFormat="0" applyBorder="0" applyAlignment="0" applyProtection="0"/>
    <xf numFmtId="0" fontId="130" fillId="123" borderId="0" applyNumberFormat="0" applyBorder="0" applyAlignment="0" applyProtection="0"/>
    <xf numFmtId="0" fontId="130" fillId="122" borderId="0" applyNumberFormat="0" applyBorder="0" applyAlignment="0" applyProtection="0"/>
    <xf numFmtId="0" fontId="130" fillId="122" borderId="0" applyNumberFormat="0" applyBorder="0" applyAlignment="0" applyProtection="0"/>
    <xf numFmtId="0" fontId="130" fillId="121" borderId="0" applyNumberFormat="0" applyBorder="0" applyAlignment="0" applyProtection="0"/>
    <xf numFmtId="0" fontId="130" fillId="121" borderId="0" applyNumberFormat="0" applyBorder="0" applyAlignment="0" applyProtection="0"/>
    <xf numFmtId="0" fontId="130" fillId="120" borderId="0" applyNumberFormat="0" applyBorder="0" applyAlignment="0" applyProtection="0"/>
    <xf numFmtId="0" fontId="130" fillId="120" borderId="0" applyNumberFormat="0" applyBorder="0" applyAlignment="0" applyProtection="0"/>
    <xf numFmtId="0" fontId="130" fillId="119" borderId="0" applyNumberFormat="0" applyBorder="0" applyAlignment="0" applyProtection="0"/>
    <xf numFmtId="0" fontId="130" fillId="119" borderId="0" applyNumberFormat="0" applyBorder="0" applyAlignment="0" applyProtection="0"/>
    <xf numFmtId="0" fontId="8" fillId="0" borderId="0" applyNumberFormat="0" applyFill="0" applyBorder="0" applyAlignment="0" applyProtection="0"/>
    <xf numFmtId="0" fontId="8" fillId="0" borderId="0"/>
    <xf numFmtId="0" fontId="5" fillId="0" borderId="0"/>
    <xf numFmtId="0" fontId="8" fillId="0" borderId="0"/>
    <xf numFmtId="0" fontId="25" fillId="0" borderId="0"/>
    <xf numFmtId="0" fontId="5" fillId="0" borderId="0"/>
    <xf numFmtId="0" fontId="5" fillId="0" borderId="0"/>
    <xf numFmtId="0" fontId="5" fillId="0" borderId="0"/>
    <xf numFmtId="0" fontId="5" fillId="0" borderId="0"/>
    <xf numFmtId="0" fontId="8" fillId="0" borderId="0" applyNumberFormat="0" applyFill="0" applyBorder="0" applyAlignment="0" applyProtection="0"/>
    <xf numFmtId="0" fontId="5" fillId="0" borderId="0"/>
    <xf numFmtId="0" fontId="135" fillId="0" borderId="0" applyNumberFormat="0" applyFill="0" applyBorder="0" applyAlignment="0" applyProtection="0"/>
    <xf numFmtId="0" fontId="49" fillId="0" borderId="0" applyNumberFormat="0" applyFill="0" applyBorder="0" applyAlignment="0" applyProtection="0"/>
    <xf numFmtId="0" fontId="136" fillId="0" borderId="74" applyNumberFormat="0" applyFill="0" applyAlignment="0" applyProtection="0"/>
    <xf numFmtId="0" fontId="29" fillId="0" borderId="16" applyNumberFormat="0" applyFill="0" applyAlignment="0" applyProtection="0"/>
    <xf numFmtId="0" fontId="137" fillId="0" borderId="0" applyNumberFormat="0" applyFill="0" applyBorder="0" applyAlignment="0" applyProtection="0"/>
    <xf numFmtId="0" fontId="5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30" fillId="0" borderId="0"/>
    <xf numFmtId="0" fontId="4" fillId="101" borderId="0" applyNumberFormat="0" applyBorder="0" applyAlignment="0" applyProtection="0"/>
    <xf numFmtId="0" fontId="4" fillId="102" borderId="0" applyNumberFormat="0" applyBorder="0" applyAlignment="0" applyProtection="0"/>
    <xf numFmtId="0" fontId="4" fillId="103" borderId="0" applyNumberFormat="0" applyBorder="0" applyAlignment="0" applyProtection="0"/>
    <xf numFmtId="0" fontId="4" fillId="104" borderId="0" applyNumberFormat="0" applyBorder="0" applyAlignment="0" applyProtection="0"/>
    <xf numFmtId="0" fontId="4" fillId="105" borderId="0" applyNumberFormat="0" applyBorder="0" applyAlignment="0" applyProtection="0"/>
    <xf numFmtId="0" fontId="4" fillId="106" borderId="0" applyNumberFormat="0" applyBorder="0" applyAlignment="0" applyProtection="0"/>
    <xf numFmtId="0" fontId="4" fillId="107" borderId="0" applyNumberFormat="0" applyBorder="0" applyAlignment="0" applyProtection="0"/>
    <xf numFmtId="0" fontId="4" fillId="108" borderId="0" applyNumberFormat="0" applyBorder="0" applyAlignment="0" applyProtection="0"/>
    <xf numFmtId="0" fontId="4" fillId="109" borderId="0" applyNumberFormat="0" applyBorder="0" applyAlignment="0" applyProtection="0"/>
    <xf numFmtId="0" fontId="4" fillId="110" borderId="0" applyNumberFormat="0" applyBorder="0" applyAlignment="0" applyProtection="0"/>
    <xf numFmtId="0" fontId="4" fillId="111" borderId="0" applyNumberFormat="0" applyBorder="0" applyAlignment="0" applyProtection="0"/>
    <xf numFmtId="0" fontId="4" fillId="112" borderId="0" applyNumberFormat="0" applyBorder="0" applyAlignment="0" applyProtection="0"/>
    <xf numFmtId="0" fontId="130" fillId="113" borderId="0" applyNumberFormat="0" applyBorder="0" applyAlignment="0" applyProtection="0"/>
    <xf numFmtId="0" fontId="130" fillId="114" borderId="0" applyNumberFormat="0" applyBorder="0" applyAlignment="0" applyProtection="0"/>
    <xf numFmtId="0" fontId="130" fillId="115" borderId="0" applyNumberFormat="0" applyBorder="0" applyAlignment="0" applyProtection="0"/>
    <xf numFmtId="0" fontId="130" fillId="116" borderId="0" applyNumberFormat="0" applyBorder="0" applyAlignment="0" applyProtection="0"/>
    <xf numFmtId="0" fontId="130" fillId="117" borderId="0" applyNumberFormat="0" applyBorder="0" applyAlignment="0" applyProtection="0"/>
    <xf numFmtId="0" fontId="130" fillId="118" borderId="0" applyNumberFormat="0" applyBorder="0" applyAlignment="0" applyProtection="0"/>
    <xf numFmtId="0" fontId="24" fillId="13" borderId="0" applyNumberFormat="0" applyBorder="0" applyAlignment="0" applyProtection="0"/>
    <xf numFmtId="0" fontId="130" fillId="119" borderId="0" applyNumberFormat="0" applyBorder="0" applyAlignment="0" applyProtection="0"/>
    <xf numFmtId="0" fontId="130" fillId="119" borderId="0" applyNumberFormat="0" applyBorder="0" applyAlignment="0" applyProtection="0"/>
    <xf numFmtId="0" fontId="130" fillId="119" borderId="0" applyNumberFormat="0" applyBorder="0" applyAlignment="0" applyProtection="0"/>
    <xf numFmtId="0" fontId="130" fillId="119" borderId="0" applyNumberFormat="0" applyBorder="0" applyAlignment="0" applyProtection="0"/>
    <xf numFmtId="0" fontId="24" fillId="17" borderId="0" applyNumberFormat="0" applyBorder="0" applyAlignment="0" applyProtection="0"/>
    <xf numFmtId="0" fontId="130" fillId="120" borderId="0" applyNumberFormat="0" applyBorder="0" applyAlignment="0" applyProtection="0"/>
    <xf numFmtId="0" fontId="130" fillId="120" borderId="0" applyNumberFormat="0" applyBorder="0" applyAlignment="0" applyProtection="0"/>
    <xf numFmtId="0" fontId="130" fillId="120" borderId="0" applyNumberFormat="0" applyBorder="0" applyAlignment="0" applyProtection="0"/>
    <xf numFmtId="0" fontId="130" fillId="120" borderId="0" applyNumberFormat="0" applyBorder="0" applyAlignment="0" applyProtection="0"/>
    <xf numFmtId="0" fontId="24" fillId="21" borderId="0" applyNumberFormat="0" applyBorder="0" applyAlignment="0" applyProtection="0"/>
    <xf numFmtId="0" fontId="130" fillId="121" borderId="0" applyNumberFormat="0" applyBorder="0" applyAlignment="0" applyProtection="0"/>
    <xf numFmtId="0" fontId="130" fillId="121" borderId="0" applyNumberFormat="0" applyBorder="0" applyAlignment="0" applyProtection="0"/>
    <xf numFmtId="0" fontId="130" fillId="121" borderId="0" applyNumberFormat="0" applyBorder="0" applyAlignment="0" applyProtection="0"/>
    <xf numFmtId="0" fontId="130" fillId="121" borderId="0" applyNumberFormat="0" applyBorder="0" applyAlignment="0" applyProtection="0"/>
    <xf numFmtId="0" fontId="24" fillId="25" borderId="0" applyNumberFormat="0" applyBorder="0" applyAlignment="0" applyProtection="0"/>
    <xf numFmtId="0" fontId="130" fillId="122" borderId="0" applyNumberFormat="0" applyBorder="0" applyAlignment="0" applyProtection="0"/>
    <xf numFmtId="0" fontId="130" fillId="122" borderId="0" applyNumberFormat="0" applyBorder="0" applyAlignment="0" applyProtection="0"/>
    <xf numFmtId="0" fontId="130" fillId="122" borderId="0" applyNumberFormat="0" applyBorder="0" applyAlignment="0" applyProtection="0"/>
    <xf numFmtId="0" fontId="130" fillId="122" borderId="0" applyNumberFormat="0" applyBorder="0" applyAlignment="0" applyProtection="0"/>
    <xf numFmtId="0" fontId="24" fillId="16" borderId="0" applyNumberFormat="0" applyBorder="0" applyAlignment="0" applyProtection="0"/>
    <xf numFmtId="0" fontId="130" fillId="123" borderId="0" applyNumberFormat="0" applyBorder="0" applyAlignment="0" applyProtection="0"/>
    <xf numFmtId="0" fontId="130" fillId="123" borderId="0" applyNumberFormat="0" applyBorder="0" applyAlignment="0" applyProtection="0"/>
    <xf numFmtId="0" fontId="130" fillId="123" borderId="0" applyNumberFormat="0" applyBorder="0" applyAlignment="0" applyProtection="0"/>
    <xf numFmtId="0" fontId="130" fillId="123" borderId="0" applyNumberFormat="0" applyBorder="0" applyAlignment="0" applyProtection="0"/>
    <xf numFmtId="0" fontId="24" fillId="29" borderId="0" applyNumberFormat="0" applyBorder="0" applyAlignment="0" applyProtection="0"/>
    <xf numFmtId="0" fontId="130" fillId="124" borderId="0" applyNumberFormat="0" applyBorder="0" applyAlignment="0" applyProtection="0"/>
    <xf numFmtId="0" fontId="130" fillId="124" borderId="0" applyNumberFormat="0" applyBorder="0" applyAlignment="0" applyProtection="0"/>
    <xf numFmtId="0" fontId="130" fillId="124" borderId="0" applyNumberFormat="0" applyBorder="0" applyAlignment="0" applyProtection="0"/>
    <xf numFmtId="0" fontId="130" fillId="124" borderId="0" applyNumberFormat="0" applyBorder="0" applyAlignment="0" applyProtection="0"/>
    <xf numFmtId="0" fontId="71" fillId="7" borderId="10" applyNumberFormat="0" applyAlignment="0" applyProtection="0"/>
    <xf numFmtId="0" fontId="138" fillId="30" borderId="0" applyNumberFormat="0" applyBorder="0" applyAlignment="0" applyProtection="0"/>
    <xf numFmtId="0" fontId="138" fillId="30" borderId="0" applyNumberFormat="0" applyBorder="0" applyAlignment="0" applyProtection="0"/>
    <xf numFmtId="0" fontId="72" fillId="7" borderId="1" applyNumberFormat="0" applyAlignment="0" applyProtection="0"/>
    <xf numFmtId="0" fontId="131" fillId="98" borderId="69"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7" fillId="33" borderId="2"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7" fillId="33" borderId="2" applyNumberFormat="0" applyAlignment="0" applyProtection="0"/>
    <xf numFmtId="0" fontId="27" fillId="33" borderId="2" applyNumberFormat="0" applyAlignment="0" applyProtection="0"/>
    <xf numFmtId="0" fontId="27" fillId="33" borderId="2" applyNumberFormat="0" applyAlignment="0" applyProtection="0"/>
    <xf numFmtId="0" fontId="27" fillId="33" borderId="2" applyNumberFormat="0" applyAlignment="0" applyProtection="0"/>
    <xf numFmtId="0" fontId="27" fillId="33" borderId="2" applyNumberFormat="0" applyAlignment="0" applyProtection="0"/>
    <xf numFmtId="0" fontId="27" fillId="33" borderId="2" applyNumberFormat="0" applyAlignment="0" applyProtection="0"/>
    <xf numFmtId="0" fontId="26" fillId="7" borderId="1" applyNumberFormat="0" applyAlignment="0" applyProtection="0"/>
    <xf numFmtId="0" fontId="27" fillId="33" borderId="2" applyNumberFormat="0" applyAlignment="0" applyProtection="0"/>
    <xf numFmtId="0" fontId="27" fillId="33" borderId="2" applyNumberFormat="0" applyAlignment="0" applyProtection="0"/>
    <xf numFmtId="0" fontId="27" fillId="33" borderId="2" applyNumberFormat="0" applyAlignment="0" applyProtection="0"/>
    <xf numFmtId="0" fontId="27" fillId="33" borderId="2" applyNumberFormat="0" applyAlignment="0" applyProtection="0"/>
    <xf numFmtId="0" fontId="26" fillId="7" borderId="1" applyNumberFormat="0" applyAlignment="0" applyProtection="0"/>
    <xf numFmtId="0" fontId="28" fillId="25" borderId="3" applyNumberFormat="0" applyAlignment="0" applyProtection="0"/>
    <xf numFmtId="0" fontId="28" fillId="25" borderId="3" applyNumberFormat="0" applyAlignment="0" applyProtection="0"/>
    <xf numFmtId="0" fontId="28" fillId="34" borderId="3" applyNumberFormat="0" applyAlignment="0" applyProtection="0"/>
    <xf numFmtId="0" fontId="73" fillId="6" borderId="1" applyNumberFormat="0" applyAlignment="0" applyProtection="0"/>
    <xf numFmtId="0" fontId="74" fillId="0" borderId="16" applyNumberFormat="0" applyFill="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32" fillId="0" borderId="8" applyNumberFormat="0" applyFill="0" applyAlignment="0" applyProtection="0"/>
    <xf numFmtId="0" fontId="31" fillId="0" borderId="4" applyNumberFormat="0" applyFill="0" applyAlignment="0" applyProtection="0"/>
    <xf numFmtId="0" fontId="32" fillId="0" borderId="8" applyNumberFormat="0" applyFill="0" applyAlignment="0" applyProtection="0"/>
    <xf numFmtId="0" fontId="132" fillId="0" borderId="73" applyNumberFormat="0" applyFill="0" applyAlignment="0" applyProtection="0"/>
    <xf numFmtId="0" fontId="25" fillId="23" borderId="0" applyNumberFormat="0" applyBorder="0" applyAlignment="0" applyProtection="0"/>
    <xf numFmtId="0" fontId="32" fillId="38" borderId="0" applyNumberFormat="0" applyBorder="0" applyAlignment="0" applyProtection="0"/>
    <xf numFmtId="0" fontId="25" fillId="23" borderId="0" applyNumberFormat="0" applyBorder="0" applyAlignment="0" applyProtection="0"/>
    <xf numFmtId="0" fontId="133" fillId="125" borderId="0" applyNumberFormat="0" applyBorder="0" applyAlignment="0" applyProtection="0"/>
    <xf numFmtId="0" fontId="140" fillId="0" borderId="75" applyNumberFormat="0" applyFill="0" applyAlignment="0" applyProtection="0"/>
    <xf numFmtId="0" fontId="140" fillId="0" borderId="75" applyNumberFormat="0" applyFill="0" applyAlignment="0" applyProtection="0"/>
    <xf numFmtId="0" fontId="141" fillId="0" borderId="76" applyNumberFormat="0" applyFill="0" applyAlignment="0" applyProtection="0"/>
    <xf numFmtId="0" fontId="141" fillId="0" borderId="76" applyNumberFormat="0" applyFill="0" applyAlignment="0" applyProtection="0"/>
    <xf numFmtId="0" fontId="142" fillId="0" borderId="77" applyNumberFormat="0" applyFill="0" applyAlignment="0" applyProtection="0"/>
    <xf numFmtId="0" fontId="142" fillId="0" borderId="77" applyNumberFormat="0" applyFill="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09" fillId="0" borderId="0" applyNumberFormat="0" applyFill="0" applyBorder="0" applyAlignment="0" applyProtection="0">
      <alignment vertical="top"/>
      <protection locked="0"/>
    </xf>
    <xf numFmtId="0" fontId="33" fillId="31" borderId="2" applyNumberFormat="0" applyAlignment="0" applyProtection="0"/>
    <xf numFmtId="0" fontId="33" fillId="31" borderId="2" applyNumberFormat="0" applyAlignment="0" applyProtection="0"/>
    <xf numFmtId="0" fontId="33" fillId="31" borderId="2" applyNumberFormat="0" applyAlignment="0" applyProtection="0"/>
    <xf numFmtId="0" fontId="33" fillId="31" borderId="2" applyNumberFormat="0" applyAlignment="0" applyProtection="0"/>
    <xf numFmtId="0" fontId="33" fillId="31" borderId="2" applyNumberFormat="0" applyAlignment="0" applyProtection="0"/>
    <xf numFmtId="0" fontId="34" fillId="6" borderId="1" applyNumberFormat="0" applyAlignment="0" applyProtection="0"/>
    <xf numFmtId="0" fontId="33" fillId="31" borderId="2" applyNumberFormat="0" applyAlignment="0" applyProtection="0"/>
    <xf numFmtId="0" fontId="33" fillId="31" borderId="2" applyNumberFormat="0" applyAlignment="0" applyProtection="0"/>
    <xf numFmtId="0" fontId="33" fillId="31" borderId="2" applyNumberFormat="0" applyAlignment="0" applyProtection="0"/>
    <xf numFmtId="0" fontId="33" fillId="31" borderId="2"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0" fontId="34" fillId="6" borderId="1" applyNumberFormat="0" applyAlignment="0" applyProtection="0"/>
    <xf numFmtId="43" fontId="4" fillId="0" borderId="0" applyFont="0" applyFill="0" applyBorder="0" applyAlignment="0" applyProtection="0"/>
    <xf numFmtId="165"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0" fontId="35" fillId="0" borderId="5" applyNumberFormat="0" applyFill="0" applyAlignment="0" applyProtection="0"/>
    <xf numFmtId="0" fontId="36" fillId="0" borderId="6" applyNumberFormat="0" applyFill="0" applyAlignment="0" applyProtection="0"/>
    <xf numFmtId="0" fontId="37" fillId="0" borderId="7" applyNumberFormat="0" applyFill="0" applyAlignment="0" applyProtection="0"/>
    <xf numFmtId="0" fontId="37" fillId="0" borderId="0" applyNumberFormat="0" applyFill="0" applyBorder="0" applyAlignment="0" applyProtection="0"/>
    <xf numFmtId="0" fontId="32" fillId="31" borderId="0" applyNumberFormat="0" applyBorder="0" applyAlignment="0" applyProtection="0"/>
    <xf numFmtId="0" fontId="38" fillId="39" borderId="0" applyNumberFormat="0" applyBorder="0" applyAlignment="0" applyProtection="0"/>
    <xf numFmtId="0" fontId="32" fillId="31" borderId="0" applyNumberFormat="0" applyBorder="0" applyAlignment="0" applyProtection="0"/>
    <xf numFmtId="0" fontId="134" fillId="126" borderId="0" applyNumberFormat="0" applyBorder="0" applyAlignment="0" applyProtection="0"/>
    <xf numFmtId="0" fontId="21" fillId="30" borderId="2" applyNumberFormat="0" applyFont="0" applyAlignment="0" applyProtection="0"/>
    <xf numFmtId="0" fontId="8" fillId="40" borderId="9" applyNumberFormat="0" applyFont="0" applyAlignment="0" applyProtection="0"/>
    <xf numFmtId="0" fontId="21" fillId="30" borderId="2" applyNumberFormat="0" applyFont="0" applyAlignment="0" applyProtection="0"/>
    <xf numFmtId="0" fontId="21" fillId="30" borderId="2" applyNumberFormat="0" applyFont="0" applyAlignment="0" applyProtection="0"/>
    <xf numFmtId="0" fontId="21" fillId="30" borderId="2" applyNumberFormat="0" applyFont="0" applyAlignment="0" applyProtection="0"/>
    <xf numFmtId="0" fontId="21" fillId="30" borderId="2" applyNumberFormat="0" applyFont="0" applyAlignment="0" applyProtection="0"/>
    <xf numFmtId="0" fontId="8" fillId="40" borderId="9" applyNumberFormat="0" applyFont="0" applyAlignment="0" applyProtection="0"/>
    <xf numFmtId="0" fontId="21" fillId="30" borderId="2" applyNumberFormat="0" applyFont="0" applyAlignment="0" applyProtection="0"/>
    <xf numFmtId="0" fontId="21" fillId="30" borderId="2" applyNumberFormat="0" applyFont="0" applyAlignment="0" applyProtection="0"/>
    <xf numFmtId="0" fontId="21" fillId="30" borderId="2" applyNumberFormat="0" applyFont="0" applyAlignment="0" applyProtection="0"/>
    <xf numFmtId="0" fontId="21" fillId="30" borderId="2"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8" fillId="40" borderId="9" applyNumberFormat="0" applyFont="0" applyAlignment="0" applyProtection="0"/>
    <xf numFmtId="0" fontId="4" fillId="100" borderId="72" applyNumberFormat="0" applyFont="0" applyAlignment="0" applyProtection="0"/>
    <xf numFmtId="0" fontId="4" fillId="100" borderId="72" applyNumberFormat="0" applyFont="0" applyAlignment="0" applyProtection="0"/>
    <xf numFmtId="0" fontId="69" fillId="40" borderId="9" applyNumberFormat="0" applyFont="0" applyAlignment="0" applyProtection="0"/>
    <xf numFmtId="0" fontId="39" fillId="41" borderId="0" applyNumberFormat="0" applyBorder="0" applyAlignment="0" applyProtection="0"/>
    <xf numFmtId="0" fontId="40" fillId="33" borderId="10" applyNumberFormat="0" applyAlignment="0" applyProtection="0"/>
    <xf numFmtId="0" fontId="40" fillId="33" borderId="10" applyNumberFormat="0" applyAlignment="0" applyProtection="0"/>
    <xf numFmtId="0" fontId="40" fillId="33" borderId="10" applyNumberFormat="0" applyAlignment="0" applyProtection="0"/>
    <xf numFmtId="0" fontId="40" fillId="33" borderId="10" applyNumberFormat="0" applyAlignment="0" applyProtection="0"/>
    <xf numFmtId="0" fontId="40" fillId="33" borderId="10" applyNumberFormat="0" applyAlignment="0" applyProtection="0"/>
    <xf numFmtId="0" fontId="40" fillId="7" borderId="10" applyNumberFormat="0" applyAlignment="0" applyProtection="0"/>
    <xf numFmtId="0" fontId="40" fillId="33" borderId="10" applyNumberFormat="0" applyAlignment="0" applyProtection="0"/>
    <xf numFmtId="0" fontId="40" fillId="33" borderId="10" applyNumberFormat="0" applyAlignment="0" applyProtection="0"/>
    <xf numFmtId="0" fontId="40" fillId="33" borderId="10" applyNumberFormat="0" applyAlignment="0" applyProtection="0"/>
    <xf numFmtId="0" fontId="40" fillId="33" borderId="10" applyNumberFormat="0" applyAlignment="0" applyProtection="0"/>
    <xf numFmtId="0" fontId="40" fillId="7" borderId="10"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70"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3" fillId="42" borderId="10" applyNumberFormat="0" applyProtection="0">
      <alignment vertical="center"/>
    </xf>
    <xf numFmtId="4" fontId="21" fillId="70"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21" fillId="39" borderId="2" applyNumberFormat="0" applyProtection="0">
      <alignment vertical="center"/>
    </xf>
    <xf numFmtId="4" fontId="105" fillId="42" borderId="10" applyNumberFormat="0" applyProtection="0">
      <alignment vertical="center"/>
    </xf>
    <xf numFmtId="4" fontId="90" fillId="42" borderId="2" applyNumberFormat="0" applyProtection="0">
      <alignment vertical="center"/>
    </xf>
    <xf numFmtId="4" fontId="21" fillId="39" borderId="2" applyNumberFormat="0" applyProtection="0">
      <alignment vertical="center"/>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70"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1" fillId="42" borderId="2" applyNumberFormat="0" applyProtection="0">
      <alignment horizontal="left" vertical="center" indent="1"/>
    </xf>
    <xf numFmtId="4" fontId="23" fillId="42" borderId="10" applyNumberFormat="0" applyProtection="0">
      <alignment horizontal="left" vertical="center" indent="1"/>
    </xf>
    <xf numFmtId="4" fontId="21" fillId="70" borderId="2" applyNumberFormat="0" applyProtection="0">
      <alignment horizontal="left" vertical="center" indent="1"/>
    </xf>
    <xf numFmtId="4" fontId="21" fillId="42" borderId="2" applyNumberFormat="0" applyProtection="0">
      <alignment horizontal="left" vertical="center"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0" fontId="42" fillId="39" borderId="11" applyNumberFormat="0" applyProtection="0">
      <alignment horizontal="left" vertical="top" indent="1"/>
    </xf>
    <xf numFmtId="4" fontId="23" fillId="42" borderId="10" applyNumberFormat="0" applyProtection="0">
      <alignment horizontal="left" vertical="center" indent="1"/>
    </xf>
    <xf numFmtId="0" fontId="42" fillId="70" borderId="11" applyNumberFormat="0" applyProtection="0">
      <alignment horizontal="left" vertical="top" indent="1"/>
    </xf>
    <xf numFmtId="0" fontId="42" fillId="39" borderId="11" applyNumberFormat="0" applyProtection="0">
      <alignment horizontal="left" vertical="top"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71" borderId="2" applyNumberFormat="0" applyBorder="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71" borderId="2" applyNumberFormat="0" applyBorder="0" applyProtection="0">
      <alignment horizontal="left" vertical="center" indent="1"/>
    </xf>
    <xf numFmtId="4" fontId="21" fillId="43" borderId="2" applyNumberFormat="0" applyProtection="0">
      <alignment horizontal="left" vertical="center" indent="1"/>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1" fillId="41" borderId="2" applyNumberFormat="0" applyProtection="0">
      <alignment horizontal="right" vertical="center"/>
    </xf>
    <xf numFmtId="4" fontId="23" fillId="81" borderId="10" applyNumberFormat="0" applyProtection="0">
      <alignment horizontal="right" vertical="center"/>
    </xf>
    <xf numFmtId="4" fontId="21" fillId="41"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1" fillId="44" borderId="2" applyNumberFormat="0" applyProtection="0">
      <alignment horizontal="right" vertical="center"/>
    </xf>
    <xf numFmtId="4" fontId="23" fillId="82" borderId="10" applyNumberFormat="0" applyProtection="0">
      <alignment horizontal="right" vertical="center"/>
    </xf>
    <xf numFmtId="4" fontId="21" fillId="44" borderId="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1" fillId="45" borderId="12" applyNumberFormat="0" applyProtection="0">
      <alignment horizontal="right" vertical="center"/>
    </xf>
    <xf numFmtId="4" fontId="23" fillId="83" borderId="10" applyNumberFormat="0" applyProtection="0">
      <alignment horizontal="right" vertical="center"/>
    </xf>
    <xf numFmtId="4" fontId="21" fillId="45" borderId="1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1" fillId="12" borderId="2" applyNumberFormat="0" applyProtection="0">
      <alignment horizontal="right" vertical="center"/>
    </xf>
    <xf numFmtId="4" fontId="23" fillId="84" borderId="10" applyNumberFormat="0" applyProtection="0">
      <alignment horizontal="right" vertical="center"/>
    </xf>
    <xf numFmtId="4" fontId="21" fillId="12"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1" fillId="46" borderId="2" applyNumberFormat="0" applyProtection="0">
      <alignment horizontal="right" vertical="center"/>
    </xf>
    <xf numFmtId="4" fontId="23" fillId="79" borderId="10" applyNumberFormat="0" applyProtection="0">
      <alignment horizontal="right" vertical="center"/>
    </xf>
    <xf numFmtId="4" fontId="21" fillId="46"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1" fillId="47" borderId="2" applyNumberFormat="0" applyProtection="0">
      <alignment horizontal="right" vertical="center"/>
    </xf>
    <xf numFmtId="4" fontId="23" fillId="85" borderId="10" applyNumberFormat="0" applyProtection="0">
      <alignment horizontal="right" vertical="center"/>
    </xf>
    <xf numFmtId="4" fontId="21" fillId="47"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1" fillId="8" borderId="2" applyNumberFormat="0" applyProtection="0">
      <alignment horizontal="right" vertical="center"/>
    </xf>
    <xf numFmtId="4" fontId="23" fillId="86" borderId="10" applyNumberFormat="0" applyProtection="0">
      <alignment horizontal="right" vertical="center"/>
    </xf>
    <xf numFmtId="4" fontId="21" fillId="8"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1" fillId="4" borderId="2" applyNumberFormat="0" applyProtection="0">
      <alignment horizontal="right" vertical="center"/>
    </xf>
    <xf numFmtId="4" fontId="23" fillId="80" borderId="10" applyNumberFormat="0" applyProtection="0">
      <alignment horizontal="right" vertical="center"/>
    </xf>
    <xf numFmtId="4" fontId="21" fillId="4"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1" fillId="48" borderId="2" applyNumberFormat="0" applyProtection="0">
      <alignment horizontal="right" vertical="center"/>
    </xf>
    <xf numFmtId="4" fontId="23" fillId="87" borderId="10" applyNumberFormat="0" applyProtection="0">
      <alignment horizontal="right" vertical="center"/>
    </xf>
    <xf numFmtId="4" fontId="21" fillId="48" borderId="2" applyNumberFormat="0" applyProtection="0">
      <alignment horizontal="right" vertical="center"/>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21" fillId="49" borderId="12" applyNumberFormat="0" applyProtection="0">
      <alignment horizontal="left" vertical="center" indent="1"/>
    </xf>
    <xf numFmtId="4" fontId="57" fillId="88" borderId="10" applyNumberFormat="0" applyProtection="0">
      <alignment horizontal="left" vertical="center" indent="1"/>
    </xf>
    <xf numFmtId="4" fontId="21" fillId="49"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23" fillId="89" borderId="50"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8" fillId="10" borderId="12" applyNumberFormat="0" applyProtection="0">
      <alignment horizontal="left" vertical="center" indent="1"/>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4" fontId="21" fillId="3" borderId="2" applyNumberFormat="0" applyProtection="0">
      <alignment horizontal="right" vertical="center"/>
    </xf>
    <xf numFmtId="0" fontId="8" fillId="91" borderId="10" applyNumberFormat="0" applyProtection="0">
      <alignment horizontal="left" vertical="center" indent="1"/>
    </xf>
    <xf numFmtId="4" fontId="21" fillId="3" borderId="2" applyNumberFormat="0" applyProtection="0">
      <alignment horizontal="right" vertical="center"/>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7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1" fillId="2" borderId="12" applyNumberFormat="0" applyProtection="0">
      <alignment horizontal="left" vertical="center" indent="1"/>
    </xf>
    <xf numFmtId="4" fontId="23" fillId="89" borderId="10" applyNumberFormat="0" applyProtection="0">
      <alignment horizontal="left" vertical="center" indent="1"/>
    </xf>
    <xf numFmtId="4" fontId="21" fillId="72" borderId="12" applyNumberFormat="0" applyProtection="0">
      <alignment horizontal="left" vertical="center" indent="1"/>
    </xf>
    <xf numFmtId="4" fontId="21" fillId="2"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1" fillId="3" borderId="12" applyNumberFormat="0" applyProtection="0">
      <alignment horizontal="left" vertical="center" indent="1"/>
    </xf>
    <xf numFmtId="4" fontId="23" fillId="92" borderId="10" applyNumberFormat="0" applyProtection="0">
      <alignment horizontal="left" vertical="center" indent="1"/>
    </xf>
    <xf numFmtId="4" fontId="21" fillId="3" borderId="1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60"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21" fillId="7" borderId="2" applyNumberFormat="0" applyProtection="0">
      <alignment horizontal="left" vertical="center" indent="1"/>
    </xf>
    <xf numFmtId="0" fontId="8" fillId="92" borderId="10" applyNumberFormat="0" applyProtection="0">
      <alignment horizontal="left" vertical="center" indent="1"/>
    </xf>
    <xf numFmtId="0" fontId="21" fillId="60" borderId="2" applyNumberFormat="0" applyProtection="0">
      <alignment horizontal="left" vertical="center" indent="1"/>
    </xf>
    <xf numFmtId="0" fontId="21" fillId="7" borderId="2" applyNumberFormat="0" applyProtection="0">
      <alignment horizontal="left" vertical="center"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21" fillId="10" borderId="11" applyNumberFormat="0" applyProtection="0">
      <alignment horizontal="left" vertical="top" indent="1"/>
    </xf>
    <xf numFmtId="0" fontId="8" fillId="92" borderId="10" applyNumberFormat="0" applyProtection="0">
      <alignment horizontal="left" vertical="center" indent="1"/>
    </xf>
    <xf numFmtId="0" fontId="21" fillId="60" borderId="11" applyNumberFormat="0" applyProtection="0">
      <alignment horizontal="left" vertical="top" indent="1"/>
    </xf>
    <xf numFmtId="0" fontId="21" fillId="10" borderId="11" applyNumberFormat="0" applyProtection="0">
      <alignment horizontal="left" vertical="top"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21" fillId="50" borderId="2" applyNumberFormat="0" applyProtection="0">
      <alignment horizontal="left" vertical="center" indent="1"/>
    </xf>
    <xf numFmtId="0" fontId="8" fillId="93" borderId="10" applyNumberFormat="0" applyProtection="0">
      <alignment horizontal="left" vertical="center" indent="1"/>
    </xf>
    <xf numFmtId="0" fontId="21" fillId="50" borderId="2" applyNumberFormat="0" applyProtection="0">
      <alignment horizontal="left" vertical="center"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21" fillId="3" borderId="11" applyNumberFormat="0" applyProtection="0">
      <alignment horizontal="left" vertical="top" indent="1"/>
    </xf>
    <xf numFmtId="0" fontId="8" fillId="93" borderId="10" applyNumberFormat="0" applyProtection="0">
      <alignment horizontal="left" vertical="center" indent="1"/>
    </xf>
    <xf numFmtId="0" fontId="21" fillId="3" borderId="11" applyNumberFormat="0" applyProtection="0">
      <alignment horizontal="left" vertical="top"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21" fillId="51" borderId="2" applyNumberFormat="0" applyProtection="0">
      <alignment horizontal="left" vertical="center" indent="1"/>
    </xf>
    <xf numFmtId="0" fontId="8" fillId="55" borderId="10" applyNumberFormat="0" applyProtection="0">
      <alignment horizontal="left" vertical="center" indent="1"/>
    </xf>
    <xf numFmtId="0" fontId="21" fillId="51" borderId="2" applyNumberFormat="0" applyProtection="0">
      <alignment horizontal="left" vertical="center"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21" fillId="51" borderId="11" applyNumberFormat="0" applyProtection="0">
      <alignment horizontal="left" vertical="top" indent="1"/>
    </xf>
    <xf numFmtId="0" fontId="8" fillId="55" borderId="10" applyNumberFormat="0" applyProtection="0">
      <alignment horizontal="left" vertical="center" indent="1"/>
    </xf>
    <xf numFmtId="0" fontId="21" fillId="51" borderId="11" applyNumberFormat="0" applyProtection="0">
      <alignment horizontal="left" vertical="top"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21" fillId="2" borderId="2" applyNumberFormat="0" applyProtection="0">
      <alignment horizontal="left" vertical="center" indent="1"/>
    </xf>
    <xf numFmtId="0" fontId="8" fillId="91" borderId="10" applyNumberFormat="0" applyProtection="0">
      <alignment horizontal="left" vertical="center" indent="1"/>
    </xf>
    <xf numFmtId="0" fontId="21" fillId="2" borderId="2" applyNumberFormat="0" applyProtection="0">
      <alignment horizontal="left" vertical="center"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21" fillId="2" borderId="11" applyNumberFormat="0" applyProtection="0">
      <alignment horizontal="left" vertical="top" indent="1"/>
    </xf>
    <xf numFmtId="0" fontId="8" fillId="91" borderId="10" applyNumberFormat="0" applyProtection="0">
      <alignment horizontal="left" vertical="center" indent="1"/>
    </xf>
    <xf numFmtId="0" fontId="21" fillId="93" borderId="11" applyNumberFormat="0" applyProtection="0">
      <alignment horizontal="left" vertical="top" indent="1"/>
    </xf>
    <xf numFmtId="0" fontId="21" fillId="2" borderId="11" applyNumberFormat="0" applyProtection="0">
      <alignment horizontal="left" vertical="top" indent="1"/>
    </xf>
    <xf numFmtId="0" fontId="21" fillId="72" borderId="13" applyNumberFormat="0">
      <protection locked="0"/>
    </xf>
    <xf numFmtId="0" fontId="43" fillId="10" borderId="14" applyBorder="0"/>
    <xf numFmtId="0" fontId="43" fillId="10" borderId="14" applyBorder="0"/>
    <xf numFmtId="0" fontId="43" fillId="10" borderId="14" applyBorder="0"/>
    <xf numFmtId="0" fontId="43" fillId="10" borderId="14" applyBorder="0"/>
    <xf numFmtId="0" fontId="43" fillId="10" borderId="14" applyBorder="0"/>
    <xf numFmtId="0" fontId="43" fillId="10" borderId="14" applyBorder="0"/>
    <xf numFmtId="0" fontId="43" fillId="10" borderId="14" applyBorder="0"/>
    <xf numFmtId="0" fontId="43" fillId="10" borderId="14" applyBorder="0"/>
    <xf numFmtId="0" fontId="43" fillId="10" borderId="14" applyBorder="0"/>
    <xf numFmtId="0" fontId="43" fillId="10" borderId="14" applyBorder="0"/>
    <xf numFmtId="0" fontId="43" fillId="60" borderId="14" applyBorder="0"/>
    <xf numFmtId="0" fontId="43" fillId="10" borderId="14" applyBorder="0"/>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44" fillId="40" borderId="11" applyNumberFormat="0" applyProtection="0">
      <alignment vertical="center"/>
    </xf>
    <xf numFmtId="4" fontId="23" fillId="70" borderId="10" applyNumberFormat="0" applyProtection="0">
      <alignment vertical="center"/>
    </xf>
    <xf numFmtId="4" fontId="44" fillId="40" borderId="11"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21" fillId="40" borderId="15" applyNumberFormat="0" applyProtection="0">
      <alignment vertical="center"/>
    </xf>
    <xf numFmtId="4" fontId="105" fillId="70" borderId="10" applyNumberFormat="0" applyProtection="0">
      <alignment vertical="center"/>
    </xf>
    <xf numFmtId="4" fontId="90" fillId="70" borderId="15" applyNumberFormat="0" applyProtection="0">
      <alignment vertical="center"/>
    </xf>
    <xf numFmtId="4" fontId="21" fillId="40" borderId="15" applyNumberFormat="0" applyProtection="0">
      <alignment vertical="center"/>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44" fillId="7" borderId="11" applyNumberFormat="0" applyProtection="0">
      <alignment horizontal="left" vertical="center" indent="1"/>
    </xf>
    <xf numFmtId="4" fontId="23" fillId="70" borderId="10" applyNumberFormat="0" applyProtection="0">
      <alignment horizontal="left" vertical="center" indent="1"/>
    </xf>
    <xf numFmtId="4" fontId="44" fillId="60" borderId="11" applyNumberFormat="0" applyProtection="0">
      <alignment horizontal="left" vertical="center" indent="1"/>
    </xf>
    <xf numFmtId="4" fontId="44" fillId="7" borderId="11" applyNumberFormat="0" applyProtection="0">
      <alignment horizontal="left" vertical="center"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0" fontId="44" fillId="40" borderId="11" applyNumberFormat="0" applyProtection="0">
      <alignment horizontal="left" vertical="top" indent="1"/>
    </xf>
    <xf numFmtId="4" fontId="23" fillId="70" borderId="10" applyNumberFormat="0" applyProtection="0">
      <alignment horizontal="left" vertical="center" indent="1"/>
    </xf>
    <xf numFmtId="0" fontId="44" fillId="40" borderId="11" applyNumberFormat="0" applyProtection="0">
      <alignment horizontal="left" vertical="top" indent="1"/>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1" fillId="0" borderId="2" applyNumberFormat="0" applyProtection="0">
      <alignment horizontal="right" vertical="center"/>
    </xf>
    <xf numFmtId="4" fontId="23" fillId="89" borderId="10" applyNumberFormat="0" applyProtection="0">
      <alignment horizontal="right" vertical="center"/>
    </xf>
    <xf numFmtId="4" fontId="21" fillId="0"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21" fillId="52" borderId="2" applyNumberFormat="0" applyProtection="0">
      <alignment horizontal="right" vertical="center"/>
    </xf>
    <xf numFmtId="4" fontId="105" fillId="89" borderId="10" applyNumberFormat="0" applyProtection="0">
      <alignment horizontal="right" vertical="center"/>
    </xf>
    <xf numFmtId="4" fontId="90" fillId="57" borderId="2" applyNumberFormat="0" applyProtection="0">
      <alignment horizontal="right" vertical="center"/>
    </xf>
    <xf numFmtId="4" fontId="21" fillId="52" borderId="2" applyNumberFormat="0" applyProtection="0">
      <alignment horizontal="right" vertical="center"/>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71"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4" fontId="21" fillId="43" borderId="2" applyNumberFormat="0" applyProtection="0">
      <alignment horizontal="left" vertical="center" indent="1"/>
    </xf>
    <xf numFmtId="0" fontId="8" fillId="91" borderId="10" applyNumberFormat="0" applyProtection="0">
      <alignment horizontal="left" vertical="center" indent="1"/>
    </xf>
    <xf numFmtId="4" fontId="21" fillId="71" borderId="2" applyNumberFormat="0" applyProtection="0">
      <alignment horizontal="left" vertical="center" indent="1"/>
    </xf>
    <xf numFmtId="4" fontId="21" fillId="43" borderId="2" applyNumberFormat="0" applyProtection="0">
      <alignment horizontal="left" vertical="center"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44" fillId="3" borderId="11" applyNumberFormat="0" applyProtection="0">
      <alignment horizontal="left" vertical="top" indent="1"/>
    </xf>
    <xf numFmtId="0" fontId="8" fillId="91" borderId="10" applyNumberFormat="0" applyProtection="0">
      <alignment horizontal="left" vertical="center" indent="1"/>
    </xf>
    <xf numFmtId="0" fontId="44" fillId="71" borderId="0" applyNumberFormat="0" applyProtection="0">
      <alignment horizontal="left" vertical="top" indent="1"/>
    </xf>
    <xf numFmtId="0" fontId="44" fillId="3" borderId="11" applyNumberFormat="0" applyProtection="0">
      <alignment horizontal="left" vertical="top"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53" borderId="12" applyNumberFormat="0" applyProtection="0">
      <alignment horizontal="left" vertical="center" indent="1"/>
    </xf>
    <xf numFmtId="4" fontId="45" fillId="127" borderId="12" applyNumberFormat="0" applyProtection="0">
      <alignment horizontal="left" vertical="center" indent="1"/>
    </xf>
    <xf numFmtId="4" fontId="45" fillId="53" borderId="12" applyNumberFormat="0" applyProtection="0">
      <alignment horizontal="left" vertical="center" indent="1"/>
    </xf>
    <xf numFmtId="0" fontId="21" fillId="54" borderId="15"/>
    <xf numFmtId="0" fontId="21" fillId="54" borderId="15"/>
    <xf numFmtId="0" fontId="21" fillId="54" borderId="15"/>
    <xf numFmtId="0" fontId="21" fillId="54" borderId="15"/>
    <xf numFmtId="0" fontId="21" fillId="54" borderId="15"/>
    <xf numFmtId="0" fontId="21" fillId="54" borderId="15"/>
    <xf numFmtId="0" fontId="21" fillId="54" borderId="15"/>
    <xf numFmtId="0" fontId="21" fillId="54" borderId="15"/>
    <xf numFmtId="0" fontId="21" fillId="54" borderId="15"/>
    <xf numFmtId="0" fontId="21" fillId="54" borderId="15"/>
    <xf numFmtId="0" fontId="21" fillId="54" borderId="15"/>
    <xf numFmtId="0" fontId="21" fillId="54" borderId="15"/>
    <xf numFmtId="0" fontId="21" fillId="54" borderId="15"/>
    <xf numFmtId="0" fontId="21" fillId="54" borderId="15"/>
    <xf numFmtId="0" fontId="21" fillId="54" borderId="15"/>
    <xf numFmtId="0" fontId="21" fillId="54" borderId="15"/>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46" fillId="52" borderId="2" applyNumberFormat="0" applyProtection="0">
      <alignment horizontal="right" vertical="center"/>
    </xf>
    <xf numFmtId="4" fontId="54" fillId="89" borderId="10" applyNumberFormat="0" applyProtection="0">
      <alignment horizontal="right" vertical="center"/>
    </xf>
    <xf numFmtId="4" fontId="46" fillId="52" borderId="2" applyNumberFormat="0" applyProtection="0">
      <alignment horizontal="right" vertical="center"/>
    </xf>
    <xf numFmtId="0" fontId="8" fillId="0" borderId="0" applyNumberFormat="0" applyFill="0" applyBorder="0" applyAlignment="0" applyProtection="0"/>
    <xf numFmtId="0" fontId="21" fillId="128" borderId="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21" fillId="128" borderId="0"/>
    <xf numFmtId="0" fontId="8" fillId="0" borderId="0" applyNumberFormat="0" applyFill="0" applyBorder="0" applyAlignment="0" applyProtection="0"/>
    <xf numFmtId="0" fontId="8" fillId="0" borderId="0" applyNumberFormat="0" applyFill="0" applyBorder="0" applyAlignment="0" applyProtection="0"/>
    <xf numFmtId="0" fontId="4" fillId="0" borderId="0"/>
    <xf numFmtId="0" fontId="47" fillId="0" borderId="0" applyNumberFormat="0" applyFill="0" applyBorder="0" applyAlignment="0" applyProtection="0"/>
    <xf numFmtId="0" fontId="49" fillId="0" borderId="0" applyNumberFormat="0" applyFill="0" applyBorder="0" applyAlignment="0" applyProtection="0"/>
    <xf numFmtId="0" fontId="47" fillId="0" borderId="0" applyNumberFormat="0" applyFill="0" applyBorder="0" applyAlignment="0" applyProtection="0"/>
    <xf numFmtId="0" fontId="135" fillId="0" borderId="0" applyNumberFormat="0" applyFill="0" applyBorder="0" applyAlignment="0" applyProtection="0"/>
    <xf numFmtId="0" fontId="29" fillId="0" borderId="17" applyNumberFormat="0" applyFill="0" applyAlignment="0" applyProtection="0"/>
    <xf numFmtId="0" fontId="136" fillId="0" borderId="74"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7"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7" applyNumberFormat="0" applyFill="0" applyAlignment="0" applyProtection="0"/>
    <xf numFmtId="0" fontId="29" fillId="0" borderId="17" applyNumberFormat="0" applyFill="0" applyAlignment="0" applyProtection="0"/>
    <xf numFmtId="0" fontId="29" fillId="0" borderId="17" applyNumberFormat="0" applyFill="0" applyAlignment="0" applyProtection="0"/>
    <xf numFmtId="0" fontId="29" fillId="0" borderId="17" applyNumberFormat="0" applyFill="0" applyAlignment="0" applyProtection="0"/>
    <xf numFmtId="0" fontId="29" fillId="0" borderId="17" applyNumberFormat="0" applyFill="0" applyAlignment="0" applyProtection="0"/>
    <xf numFmtId="0" fontId="29" fillId="0" borderId="16" applyNumberFormat="0" applyFill="0" applyAlignment="0" applyProtection="0"/>
    <xf numFmtId="0" fontId="29" fillId="0" borderId="17" applyNumberFormat="0" applyFill="0" applyAlignment="0" applyProtection="0"/>
    <xf numFmtId="0" fontId="29" fillId="0" borderId="17" applyNumberFormat="0" applyFill="0" applyAlignment="0" applyProtection="0"/>
    <xf numFmtId="0" fontId="29" fillId="0" borderId="17" applyNumberFormat="0" applyFill="0" applyAlignment="0" applyProtection="0"/>
    <xf numFmtId="0" fontId="29" fillId="0" borderId="17" applyNumberFormat="0" applyFill="0" applyAlignment="0" applyProtection="0"/>
    <xf numFmtId="0" fontId="29" fillId="0" borderId="17" applyNumberFormat="0" applyFill="0" applyAlignment="0" applyProtection="0"/>
    <xf numFmtId="0" fontId="29" fillId="0" borderId="16" applyNumberFormat="0" applyFill="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40" fillId="7" borderId="10" applyNumberFormat="0" applyAlignment="0" applyProtection="0"/>
    <xf numFmtId="0" fontId="50"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137" fillId="0" borderId="0" applyNumberFormat="0" applyFill="0" applyBorder="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2"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3"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6" borderId="0" applyNumberFormat="0" applyBorder="0" applyAlignment="0" applyProtection="0"/>
    <xf numFmtId="0" fontId="19" fillId="11" borderId="0" applyNumberFormat="0" applyBorder="0" applyAlignment="0" applyProtection="0"/>
    <xf numFmtId="0" fontId="19" fillId="3"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7" fillId="33" borderId="2" applyNumberFormat="0" applyAlignment="0" applyProtection="0"/>
    <xf numFmtId="0" fontId="32" fillId="0" borderId="8" applyNumberFormat="0" applyFill="0" applyAlignment="0" applyProtection="0"/>
    <xf numFmtId="0" fontId="25" fillId="23" borderId="0" applyNumberFormat="0" applyBorder="0" applyAlignment="0" applyProtection="0"/>
    <xf numFmtId="0" fontId="25" fillId="23"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8" fillId="0" borderId="0" applyFont="0" applyFill="0" applyBorder="0" applyAlignment="0" applyProtection="0"/>
    <xf numFmtId="0" fontId="32" fillId="0" borderId="8" applyNumberFormat="0" applyFill="0" applyAlignment="0" applyProtection="0"/>
    <xf numFmtId="0" fontId="32" fillId="31" borderId="0" applyNumberFormat="0" applyBorder="0" applyAlignment="0" applyProtection="0"/>
    <xf numFmtId="0" fontId="32" fillId="31" borderId="0" applyNumberFormat="0" applyBorder="0" applyAlignment="0" applyProtection="0"/>
    <xf numFmtId="0" fontId="8" fillId="40" borderId="9" applyNumberFormat="0" applyFont="0" applyAlignment="0" applyProtection="0"/>
    <xf numFmtId="0" fontId="3" fillId="0" borderId="0"/>
    <xf numFmtId="0" fontId="3" fillId="0" borderId="0"/>
    <xf numFmtId="0" fontId="3" fillId="0" borderId="0"/>
    <xf numFmtId="0" fontId="47" fillId="0" borderId="0" applyNumberFormat="0" applyFill="0" applyBorder="0" applyAlignment="0" applyProtection="0"/>
    <xf numFmtId="0" fontId="47" fillId="0" borderId="0" applyNumberFormat="0" applyFill="0" applyBorder="0" applyAlignment="0" applyProtection="0"/>
    <xf numFmtId="0" fontId="29" fillId="0" borderId="17"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101" borderId="0" applyNumberFormat="0" applyBorder="0" applyAlignment="0" applyProtection="0"/>
    <xf numFmtId="0" fontId="1" fillId="102" borderId="0" applyNumberFormat="0" applyBorder="0" applyAlignment="0" applyProtection="0"/>
    <xf numFmtId="0" fontId="1" fillId="103" borderId="0" applyNumberFormat="0" applyBorder="0" applyAlignment="0" applyProtection="0"/>
    <xf numFmtId="0" fontId="1" fillId="104" borderId="0" applyNumberFormat="0" applyBorder="0" applyAlignment="0" applyProtection="0"/>
    <xf numFmtId="0" fontId="1" fillId="105" borderId="0" applyNumberFormat="0" applyBorder="0" applyAlignment="0" applyProtection="0"/>
    <xf numFmtId="0" fontId="1" fillId="106" borderId="0" applyNumberFormat="0" applyBorder="0" applyAlignment="0" applyProtection="0"/>
    <xf numFmtId="0" fontId="1" fillId="107" borderId="0" applyNumberFormat="0" applyBorder="0" applyAlignment="0" applyProtection="0"/>
    <xf numFmtId="0" fontId="1" fillId="108" borderId="0" applyNumberFormat="0" applyBorder="0" applyAlignment="0" applyProtection="0"/>
    <xf numFmtId="0" fontId="1" fillId="109" borderId="0" applyNumberFormat="0" applyBorder="0" applyAlignment="0" applyProtection="0"/>
    <xf numFmtId="0" fontId="1" fillId="110" borderId="0" applyNumberFormat="0" applyBorder="0" applyAlignment="0" applyProtection="0"/>
    <xf numFmtId="0" fontId="1" fillId="111" borderId="0" applyNumberFormat="0" applyBorder="0" applyAlignment="0" applyProtection="0"/>
    <xf numFmtId="0" fontId="1" fillId="11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100" borderId="72" applyNumberFormat="0" applyFont="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101" borderId="0" applyNumberFormat="0" applyBorder="0" applyAlignment="0" applyProtection="0"/>
    <xf numFmtId="0" fontId="1" fillId="102" borderId="0" applyNumberFormat="0" applyBorder="0" applyAlignment="0" applyProtection="0"/>
    <xf numFmtId="0" fontId="1" fillId="103" borderId="0" applyNumberFormat="0" applyBorder="0" applyAlignment="0" applyProtection="0"/>
    <xf numFmtId="0" fontId="1" fillId="104" borderId="0" applyNumberFormat="0" applyBorder="0" applyAlignment="0" applyProtection="0"/>
    <xf numFmtId="0" fontId="1" fillId="105" borderId="0" applyNumberFormat="0" applyBorder="0" applyAlignment="0" applyProtection="0"/>
    <xf numFmtId="0" fontId="1" fillId="106" borderId="0" applyNumberFormat="0" applyBorder="0" applyAlignment="0" applyProtection="0"/>
    <xf numFmtId="0" fontId="1" fillId="107" borderId="0" applyNumberFormat="0" applyBorder="0" applyAlignment="0" applyProtection="0"/>
    <xf numFmtId="0" fontId="1" fillId="108" borderId="0" applyNumberFormat="0" applyBorder="0" applyAlignment="0" applyProtection="0"/>
    <xf numFmtId="0" fontId="1" fillId="109" borderId="0" applyNumberFormat="0" applyBorder="0" applyAlignment="0" applyProtection="0"/>
    <xf numFmtId="0" fontId="1" fillId="110" borderId="0" applyNumberFormat="0" applyBorder="0" applyAlignment="0" applyProtection="0"/>
    <xf numFmtId="0" fontId="1" fillId="111" borderId="0" applyNumberFormat="0" applyBorder="0" applyAlignment="0" applyProtection="0"/>
    <xf numFmtId="0" fontId="1" fillId="11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100" borderId="72" applyNumberFormat="0" applyFont="0" applyAlignment="0" applyProtection="0"/>
    <xf numFmtId="0" fontId="1" fillId="100" borderId="72" applyNumberFormat="0" applyFont="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cellStyleXfs>
  <cellXfs count="1455">
    <xf numFmtId="0" fontId="0" fillId="0" borderId="0" xfId="0"/>
    <xf numFmtId="0" fontId="11" fillId="0" borderId="0" xfId="101" applyFont="1" applyFill="1"/>
    <xf numFmtId="0" fontId="11" fillId="0" borderId="0" xfId="101" applyFont="1"/>
    <xf numFmtId="0" fontId="11" fillId="55" borderId="0" xfId="101" applyFont="1" applyFill="1"/>
    <xf numFmtId="0" fontId="12" fillId="55" borderId="0" xfId="101" applyFont="1" applyFill="1"/>
    <xf numFmtId="0" fontId="11" fillId="55" borderId="0" xfId="101" applyFont="1" applyFill="1" applyBorder="1" applyAlignment="1">
      <alignment horizontal="left"/>
    </xf>
    <xf numFmtId="0" fontId="14" fillId="55" borderId="0" xfId="101" applyFont="1" applyFill="1"/>
    <xf numFmtId="0" fontId="14" fillId="55" borderId="0" xfId="101" applyFont="1" applyFill="1" applyBorder="1" applyAlignment="1">
      <alignment horizontal="left"/>
    </xf>
    <xf numFmtId="0" fontId="14" fillId="55" borderId="0" xfId="101" applyFont="1" applyFill="1" applyAlignment="1"/>
    <xf numFmtId="0" fontId="17" fillId="60" borderId="18" xfId="99" applyFont="1" applyFill="1" applyBorder="1" applyAlignment="1" applyProtection="1">
      <alignment horizontal="left" vertical="center"/>
    </xf>
    <xf numFmtId="0" fontId="14" fillId="60" borderId="19" xfId="99" applyFont="1" applyFill="1" applyBorder="1" applyAlignment="1" applyProtection="1">
      <alignment vertical="center"/>
    </xf>
    <xf numFmtId="0" fontId="14" fillId="0" borderId="0" xfId="99" applyFont="1" applyFill="1" applyBorder="1" applyAlignment="1" applyProtection="1">
      <alignment vertical="center"/>
    </xf>
    <xf numFmtId="0" fontId="17" fillId="60" borderId="0" xfId="99" applyFont="1" applyFill="1" applyBorder="1" applyAlignment="1" applyProtection="1">
      <alignment horizontal="left" vertical="center"/>
    </xf>
    <xf numFmtId="0" fontId="18" fillId="0" borderId="0" xfId="1" applyFont="1" applyFill="1" applyAlignment="1">
      <alignment vertical="top"/>
    </xf>
    <xf numFmtId="0" fontId="53" fillId="60" borderId="0" xfId="103" applyNumberFormat="1" applyFont="1" applyFill="1" applyBorder="1" applyAlignment="1" applyProtection="1">
      <alignment horizontal="center" vertical="center" wrapText="1"/>
    </xf>
    <xf numFmtId="0" fontId="11" fillId="0" borderId="0" xfId="92" quotePrefix="1" applyNumberFormat="1" applyFont="1" applyFill="1" applyBorder="1" applyAlignment="1" applyProtection="1">
      <alignment horizontal="left" vertical="center" indent="1"/>
      <protection locked="0"/>
    </xf>
    <xf numFmtId="0" fontId="53" fillId="60" borderId="0" xfId="1" applyFont="1" applyFill="1" applyBorder="1" applyAlignment="1">
      <alignment vertical="top" wrapText="1"/>
    </xf>
    <xf numFmtId="0" fontId="53" fillId="0" borderId="0" xfId="1" applyFont="1" applyFill="1" applyBorder="1" applyAlignment="1">
      <alignment vertical="top" wrapText="1"/>
    </xf>
    <xf numFmtId="0" fontId="53" fillId="0" borderId="0" xfId="103" applyNumberFormat="1" applyFont="1" applyFill="1" applyBorder="1" applyAlignment="1" applyProtection="1">
      <alignment horizontal="center" vertical="center" wrapText="1"/>
    </xf>
    <xf numFmtId="0" fontId="55" fillId="0" borderId="0" xfId="0" applyFont="1"/>
    <xf numFmtId="169" fontId="11" fillId="42" borderId="27" xfId="92" quotePrefix="1" applyNumberFormat="1" applyFont="1" applyFill="1" applyBorder="1" applyAlignment="1" applyProtection="1">
      <alignment horizontal="left" vertical="center" indent="1"/>
      <protection locked="0"/>
    </xf>
    <xf numFmtId="0" fontId="0" fillId="0" borderId="0" xfId="0" applyFill="1"/>
    <xf numFmtId="0" fontId="0" fillId="0" borderId="0" xfId="0" applyBorder="1"/>
    <xf numFmtId="0" fontId="53" fillId="60" borderId="30" xfId="103" applyNumberFormat="1" applyFont="1" applyFill="1" applyBorder="1" applyAlignment="1" applyProtection="1">
      <alignment horizontal="center" vertical="center" wrapText="1"/>
    </xf>
    <xf numFmtId="4" fontId="0" fillId="59" borderId="27" xfId="0" applyNumberFormat="1" applyFill="1" applyBorder="1"/>
    <xf numFmtId="0" fontId="20" fillId="0" borderId="0" xfId="1" applyFont="1" applyFill="1"/>
    <xf numFmtId="0" fontId="20" fillId="60" borderId="0" xfId="1" applyFont="1" applyFill="1"/>
    <xf numFmtId="10" fontId="57" fillId="59" borderId="27" xfId="55" applyNumberFormat="1" applyFont="1" applyFill="1" applyBorder="1"/>
    <xf numFmtId="0" fontId="11" fillId="0" borderId="0" xfId="0" applyFont="1"/>
    <xf numFmtId="3" fontId="23" fillId="58" borderId="27" xfId="98" applyNumberFormat="1" applyFont="1" applyFill="1" applyBorder="1"/>
    <xf numFmtId="0" fontId="11" fillId="0" borderId="0" xfId="0" applyFont="1" applyBorder="1"/>
    <xf numFmtId="0" fontId="23" fillId="0" borderId="0" xfId="98" applyFont="1" applyFill="1" applyBorder="1"/>
    <xf numFmtId="0" fontId="18" fillId="60" borderId="21" xfId="98" applyFont="1" applyFill="1" applyBorder="1"/>
    <xf numFmtId="0" fontId="23" fillId="0" borderId="21" xfId="98" applyFont="1" applyFill="1" applyBorder="1"/>
    <xf numFmtId="3" fontId="11" fillId="42" borderId="27" xfId="99" applyNumberFormat="1" applyFont="1" applyFill="1" applyBorder="1" applyAlignment="1" applyProtection="1">
      <alignment vertical="center"/>
    </xf>
    <xf numFmtId="0" fontId="0" fillId="0" borderId="21" xfId="0" applyBorder="1"/>
    <xf numFmtId="0" fontId="0" fillId="0" borderId="0" xfId="0" applyFill="1" applyBorder="1"/>
    <xf numFmtId="10" fontId="23" fillId="0" borderId="27" xfId="55" applyNumberFormat="1" applyFont="1" applyFill="1" applyBorder="1" applyAlignment="1" applyProtection="1">
      <alignment horizontal="right"/>
    </xf>
    <xf numFmtId="0" fontId="59" fillId="0" borderId="0" xfId="103" applyNumberFormat="1" applyFont="1" applyFill="1" applyBorder="1" applyAlignment="1" applyProtection="1">
      <alignment horizontal="center" vertical="center" wrapText="1"/>
    </xf>
    <xf numFmtId="0" fontId="11" fillId="0" borderId="0" xfId="0" applyFont="1" applyFill="1"/>
    <xf numFmtId="0" fontId="61" fillId="0" borderId="0" xfId="0" applyFont="1"/>
    <xf numFmtId="0" fontId="18" fillId="0" borderId="0" xfId="98" applyFont="1" applyFill="1" applyBorder="1"/>
    <xf numFmtId="0" fontId="0" fillId="57" borderId="0" xfId="0" applyFill="1" applyBorder="1"/>
    <xf numFmtId="167" fontId="0" fillId="0" borderId="0" xfId="0" applyNumberFormat="1"/>
    <xf numFmtId="0" fontId="12" fillId="57" borderId="0" xfId="0" applyFont="1" applyFill="1" applyBorder="1"/>
    <xf numFmtId="3" fontId="54" fillId="0" borderId="0" xfId="99" applyNumberFormat="1" applyFont="1" applyFill="1" applyBorder="1" applyAlignment="1" applyProtection="1">
      <alignment vertical="center"/>
    </xf>
    <xf numFmtId="0" fontId="18" fillId="60" borderId="0" xfId="0" applyFont="1" applyFill="1" applyBorder="1"/>
    <xf numFmtId="167" fontId="0" fillId="0" borderId="0" xfId="0" applyNumberFormat="1" applyFill="1"/>
    <xf numFmtId="0" fontId="19" fillId="60" borderId="0" xfId="0" applyFont="1" applyFill="1" applyBorder="1"/>
    <xf numFmtId="0" fontId="19" fillId="0" borderId="0" xfId="0" applyFont="1" applyFill="1" applyBorder="1"/>
    <xf numFmtId="0" fontId="12" fillId="57" borderId="27" xfId="4" applyFont="1" applyFill="1" applyBorder="1" applyAlignment="1">
      <alignment horizontal="right"/>
    </xf>
    <xf numFmtId="0" fontId="22" fillId="0" borderId="0" xfId="99" applyFont="1" applyFill="1" applyBorder="1" applyAlignment="1" applyProtection="1">
      <alignment vertical="center"/>
    </xf>
    <xf numFmtId="0" fontId="12" fillId="0" borderId="0" xfId="1" applyFont="1" applyFill="1" applyBorder="1" applyAlignment="1" applyProtection="1">
      <alignment horizontal="left"/>
    </xf>
    <xf numFmtId="3" fontId="12" fillId="0" borderId="0" xfId="1" applyNumberFormat="1" applyFont="1" applyFill="1" applyBorder="1" applyProtection="1"/>
    <xf numFmtId="0" fontId="12" fillId="0" borderId="0" xfId="1" applyFont="1" applyFill="1" applyBorder="1" applyProtection="1"/>
    <xf numFmtId="0" fontId="19" fillId="60" borderId="0" xfId="3" applyFont="1" applyFill="1" applyBorder="1"/>
    <xf numFmtId="0" fontId="19" fillId="60" borderId="0" xfId="102" applyFont="1" applyFill="1" applyBorder="1" applyAlignment="1">
      <alignment horizontal="right"/>
    </xf>
    <xf numFmtId="0" fontId="18" fillId="60" borderId="15" xfId="98" applyFont="1" applyFill="1" applyBorder="1"/>
    <xf numFmtId="0" fontId="18" fillId="60" borderId="0" xfId="53" applyFont="1" applyFill="1" applyBorder="1" applyAlignment="1">
      <alignment horizontal="center"/>
    </xf>
    <xf numFmtId="0" fontId="18" fillId="60" borderId="0" xfId="53" applyFont="1" applyFill="1" applyBorder="1"/>
    <xf numFmtId="173" fontId="8" fillId="42" borderId="27" xfId="51" applyNumberFormat="1" applyFont="1" applyFill="1" applyBorder="1"/>
    <xf numFmtId="0" fontId="11" fillId="42" borderId="27" xfId="92" applyNumberFormat="1" applyFont="1" applyFill="1" applyBorder="1" applyAlignment="1" applyProtection="1">
      <alignment horizontal="left" vertical="center" indent="1"/>
      <protection locked="0"/>
    </xf>
    <xf numFmtId="0" fontId="12" fillId="0" borderId="0" xfId="0" applyFont="1" applyFill="1" applyBorder="1"/>
    <xf numFmtId="0" fontId="62" fillId="0" borderId="0" xfId="99" applyFont="1" applyFill="1" applyBorder="1" applyAlignment="1" applyProtection="1">
      <alignment vertical="center"/>
    </xf>
    <xf numFmtId="3" fontId="23" fillId="0" borderId="0" xfId="98" applyNumberFormat="1" applyFont="1" applyFill="1" applyBorder="1"/>
    <xf numFmtId="0" fontId="18" fillId="0" borderId="0" xfId="1" applyFont="1" applyFill="1" applyBorder="1" applyAlignment="1">
      <alignment vertical="top"/>
    </xf>
    <xf numFmtId="0" fontId="11" fillId="42" borderId="28" xfId="92" applyNumberFormat="1" applyFont="1" applyFill="1" applyBorder="1" applyAlignment="1" applyProtection="1">
      <alignment horizontal="left" vertical="center" indent="1"/>
      <protection locked="0"/>
    </xf>
    <xf numFmtId="10" fontId="11" fillId="58" borderId="27" xfId="4" applyNumberFormat="1" applyFont="1" applyFill="1" applyBorder="1"/>
    <xf numFmtId="0" fontId="22" fillId="60" borderId="34" xfId="99" applyFont="1" applyFill="1" applyBorder="1" applyAlignment="1" applyProtection="1">
      <alignment vertical="center"/>
    </xf>
    <xf numFmtId="0" fontId="22" fillId="60" borderId="35" xfId="99" applyFont="1" applyFill="1" applyBorder="1" applyAlignment="1" applyProtection="1">
      <alignment vertical="center"/>
    </xf>
    <xf numFmtId="0" fontId="12" fillId="0" borderId="0" xfId="0" applyFont="1"/>
    <xf numFmtId="0" fontId="63" fillId="0" borderId="0" xfId="0" applyFont="1"/>
    <xf numFmtId="0" fontId="63" fillId="0" borderId="0" xfId="0" applyFont="1" applyFill="1" applyBorder="1"/>
    <xf numFmtId="0" fontId="63" fillId="0" borderId="0" xfId="0" applyFont="1" applyFill="1"/>
    <xf numFmtId="0" fontId="63" fillId="57" borderId="0" xfId="0" applyFont="1" applyFill="1" applyBorder="1"/>
    <xf numFmtId="0" fontId="63" fillId="60" borderId="0" xfId="0" applyFont="1" applyFill="1" applyBorder="1"/>
    <xf numFmtId="0" fontId="63" fillId="0" borderId="0" xfId="0" applyFont="1" applyBorder="1"/>
    <xf numFmtId="3" fontId="63" fillId="0" borderId="0" xfId="0" applyNumberFormat="1" applyFont="1" applyFill="1" applyBorder="1"/>
    <xf numFmtId="0" fontId="63" fillId="0" borderId="0" xfId="0" applyFont="1" applyFill="1" applyBorder="1" applyAlignment="1">
      <alignment horizontal="center"/>
    </xf>
    <xf numFmtId="0" fontId="63" fillId="57" borderId="0" xfId="0" applyFont="1" applyFill="1" applyBorder="1" applyAlignment="1">
      <alignment horizontal="center"/>
    </xf>
    <xf numFmtId="0" fontId="8" fillId="0" borderId="0" xfId="0" applyFont="1"/>
    <xf numFmtId="0" fontId="63" fillId="61" borderId="0" xfId="0" applyFont="1" applyFill="1" applyBorder="1"/>
    <xf numFmtId="0" fontId="18" fillId="61" borderId="0" xfId="0" applyFont="1" applyFill="1" applyBorder="1"/>
    <xf numFmtId="0" fontId="85" fillId="0" borderId="0" xfId="99" applyFont="1" applyFill="1" applyBorder="1" applyAlignment="1" applyProtection="1">
      <alignment vertical="center"/>
    </xf>
    <xf numFmtId="0" fontId="64" fillId="61" borderId="0" xfId="0" applyFont="1" applyFill="1" applyBorder="1"/>
    <xf numFmtId="0" fontId="64" fillId="57" borderId="0" xfId="0" applyFont="1" applyFill="1" applyBorder="1"/>
    <xf numFmtId="0" fontId="64" fillId="0" borderId="0" xfId="0" applyFont="1" applyBorder="1" applyAlignment="1">
      <alignment horizontal="center" wrapText="1"/>
    </xf>
    <xf numFmtId="0" fontId="0" fillId="61" borderId="0" xfId="0" applyFill="1" applyBorder="1"/>
    <xf numFmtId="0" fontId="88" fillId="0" borderId="0" xfId="1" applyFont="1" applyFill="1" applyAlignment="1">
      <alignment vertical="top"/>
    </xf>
    <xf numFmtId="0" fontId="8" fillId="0" borderId="0" xfId="0" applyFont="1" applyFill="1"/>
    <xf numFmtId="3" fontId="8" fillId="57" borderId="21" xfId="99" applyNumberFormat="1" applyFont="1" applyFill="1" applyBorder="1" applyAlignment="1" applyProtection="1">
      <alignment vertical="center"/>
    </xf>
    <xf numFmtId="0" fontId="18" fillId="60" borderId="0" xfId="99" applyFont="1" applyFill="1" applyBorder="1" applyAlignment="1" applyProtection="1">
      <alignment horizontal="left" vertical="center"/>
    </xf>
    <xf numFmtId="0" fontId="18" fillId="60" borderId="19" xfId="99" applyFont="1" applyFill="1" applyBorder="1" applyAlignment="1" applyProtection="1">
      <alignment horizontal="left" vertical="center"/>
    </xf>
    <xf numFmtId="0" fontId="8" fillId="0" borderId="0" xfId="172" applyFont="1"/>
    <xf numFmtId="0" fontId="18" fillId="0" borderId="0" xfId="99" applyFont="1" applyFill="1" applyBorder="1" applyAlignment="1" applyProtection="1">
      <alignment horizontal="left" vertical="center"/>
    </xf>
    <xf numFmtId="0" fontId="8" fillId="0" borderId="0" xfId="172" applyFont="1" applyFill="1"/>
    <xf numFmtId="0" fontId="8" fillId="0" borderId="26" xfId="175" quotePrefix="1" applyNumberFormat="1" applyFont="1" applyFill="1" applyBorder="1" applyAlignment="1" applyProtection="1">
      <alignment vertical="center"/>
      <protection locked="0"/>
    </xf>
    <xf numFmtId="3" fontId="8" fillId="69" borderId="27" xfId="172" applyNumberFormat="1" applyFont="1" applyFill="1" applyBorder="1"/>
    <xf numFmtId="0" fontId="8" fillId="0" borderId="32" xfId="175" quotePrefix="1" applyNumberFormat="1" applyFont="1" applyFill="1" applyBorder="1" applyAlignment="1" applyProtection="1">
      <alignment horizontal="left" vertical="center" indent="1"/>
      <protection locked="0"/>
    </xf>
    <xf numFmtId="3" fontId="8" fillId="0" borderId="0" xfId="172" applyNumberFormat="1" applyFont="1"/>
    <xf numFmtId="3" fontId="8" fillId="42" borderId="27" xfId="0" applyNumberFormat="1" applyFont="1" applyFill="1" applyBorder="1"/>
    <xf numFmtId="0" fontId="0" fillId="0" borderId="0" xfId="0"/>
    <xf numFmtId="0" fontId="8" fillId="0" borderId="0" xfId="0" applyFont="1" applyFill="1" applyBorder="1"/>
    <xf numFmtId="0" fontId="65" fillId="0" borderId="0" xfId="0" applyFont="1" applyBorder="1"/>
    <xf numFmtId="0" fontId="65" fillId="0" borderId="0" xfId="0" applyFont="1" applyFill="1" applyBorder="1"/>
    <xf numFmtId="0" fontId="8" fillId="0" borderId="0" xfId="4" applyFont="1" applyFill="1" applyBorder="1"/>
    <xf numFmtId="0" fontId="8" fillId="61" borderId="0" xfId="92" applyNumberFormat="1" applyFont="1" applyFill="1" applyBorder="1" applyAlignment="1" applyProtection="1">
      <alignment horizontal="left" vertical="center" indent="1"/>
      <protection locked="0"/>
    </xf>
    <xf numFmtId="0" fontId="65" fillId="61" borderId="0" xfId="0" applyFont="1" applyFill="1" applyBorder="1"/>
    <xf numFmtId="0" fontId="8" fillId="0" borderId="0" xfId="0" applyFont="1" applyBorder="1"/>
    <xf numFmtId="3" fontId="8" fillId="42" borderId="27" xfId="55" applyNumberFormat="1" applyFont="1" applyFill="1" applyBorder="1"/>
    <xf numFmtId="0" fontId="63" fillId="0" borderId="0" xfId="4" applyFont="1" applyFill="1" applyBorder="1"/>
    <xf numFmtId="173" fontId="8" fillId="61" borderId="0" xfId="51" applyNumberFormat="1" applyFont="1" applyFill="1" applyBorder="1"/>
    <xf numFmtId="3" fontId="8" fillId="0" borderId="0" xfId="0" applyNumberFormat="1" applyFont="1" applyFill="1" applyBorder="1"/>
    <xf numFmtId="0" fontId="8" fillId="0" borderId="0" xfId="0" applyFont="1" applyAlignment="1">
      <alignment horizontal="right"/>
    </xf>
    <xf numFmtId="0" fontId="8" fillId="0" borderId="0" xfId="0" applyFont="1" applyFill="1" applyBorder="1" applyAlignment="1">
      <alignment horizontal="right"/>
    </xf>
    <xf numFmtId="0" fontId="12" fillId="61" borderId="0" xfId="102" applyFont="1" applyFill="1" applyBorder="1"/>
    <xf numFmtId="3" fontId="65" fillId="61" borderId="0" xfId="0" applyNumberFormat="1" applyFont="1" applyFill="1" applyBorder="1" applyAlignment="1">
      <alignment horizontal="right" vertical="top"/>
    </xf>
    <xf numFmtId="0" fontId="91" fillId="57" borderId="27" xfId="53" applyFont="1" applyFill="1" applyBorder="1" applyAlignment="1">
      <alignment horizontal="center"/>
    </xf>
    <xf numFmtId="0" fontId="91" fillId="0" borderId="27" xfId="53" applyFont="1" applyFill="1" applyBorder="1" applyAlignment="1">
      <alignment horizontal="center"/>
    </xf>
    <xf numFmtId="9" fontId="91" fillId="0" borderId="27" xfId="53" applyNumberFormat="1" applyFont="1" applyFill="1" applyBorder="1" applyAlignment="1">
      <alignment horizontal="center"/>
    </xf>
    <xf numFmtId="11" fontId="91" fillId="0" borderId="27" xfId="53" applyNumberFormat="1" applyFont="1" applyFill="1" applyBorder="1" applyAlignment="1">
      <alignment horizontal="center"/>
    </xf>
    <xf numFmtId="3" fontId="8" fillId="0" borderId="0" xfId="0" applyNumberFormat="1" applyFont="1"/>
    <xf numFmtId="10" fontId="63" fillId="61" borderId="45" xfId="92" applyNumberFormat="1" applyFont="1" applyFill="1" applyBorder="1" applyAlignment="1" applyProtection="1">
      <alignment horizontal="right" indent="1"/>
      <protection locked="0"/>
    </xf>
    <xf numFmtId="0" fontId="92" fillId="0" borderId="0" xfId="0" applyFont="1" applyBorder="1"/>
    <xf numFmtId="0" fontId="8" fillId="0" borderId="21" xfId="104" applyFont="1" applyFill="1" applyBorder="1" applyAlignment="1" applyProtection="1">
      <alignment horizontal="left"/>
    </xf>
    <xf numFmtId="0" fontId="8" fillId="61" borderId="0" xfId="98" applyFont="1" applyFill="1" applyBorder="1"/>
    <xf numFmtId="0" fontId="64" fillId="0" borderId="0" xfId="172" applyFont="1"/>
    <xf numFmtId="0" fontId="68" fillId="60" borderId="0" xfId="173" applyNumberFormat="1" applyFont="1" applyFill="1" applyBorder="1" applyAlignment="1" applyProtection="1">
      <alignment horizontal="center" vertical="center" wrapText="1"/>
    </xf>
    <xf numFmtId="0" fontId="8" fillId="0" borderId="21" xfId="0" applyFont="1" applyFill="1" applyBorder="1"/>
    <xf numFmtId="0" fontId="8" fillId="0" borderId="21" xfId="0" applyFont="1" applyBorder="1"/>
    <xf numFmtId="0" fontId="8" fillId="0" borderId="21" xfId="98" applyFont="1" applyFill="1" applyBorder="1"/>
    <xf numFmtId="0" fontId="8" fillId="0" borderId="21" xfId="98" applyFont="1" applyBorder="1" applyAlignment="1"/>
    <xf numFmtId="9" fontId="8" fillId="0" borderId="27" xfId="0" applyNumberFormat="1" applyFont="1" applyBorder="1" applyAlignment="1">
      <alignment horizontal="center"/>
    </xf>
    <xf numFmtId="0" fontId="68" fillId="60" borderId="0" xfId="0" applyFont="1" applyFill="1" applyBorder="1"/>
    <xf numFmtId="3" fontId="8" fillId="42" borderId="28" xfId="55" applyNumberFormat="1" applyFont="1" applyFill="1" applyBorder="1"/>
    <xf numFmtId="0" fontId="68" fillId="60" borderId="0" xfId="98" applyFont="1" applyFill="1" applyBorder="1"/>
    <xf numFmtId="0" fontId="64" fillId="60" borderId="0" xfId="0" applyFont="1" applyFill="1" applyBorder="1"/>
    <xf numFmtId="0" fontId="8" fillId="42" borderId="27" xfId="0" applyFont="1" applyFill="1" applyBorder="1"/>
    <xf numFmtId="0" fontId="68" fillId="60" borderId="18" xfId="0" applyFont="1" applyFill="1" applyBorder="1"/>
    <xf numFmtId="3" fontId="8" fillId="59" borderId="27" xfId="0" applyNumberFormat="1" applyFont="1" applyFill="1" applyBorder="1"/>
    <xf numFmtId="10" fontId="12" fillId="59" borderId="27" xfId="55" applyNumberFormat="1" applyFont="1" applyFill="1" applyBorder="1"/>
    <xf numFmtId="0" fontId="8" fillId="0" borderId="21" xfId="0" applyFont="1" applyBorder="1" applyAlignment="1"/>
    <xf numFmtId="3" fontId="8" fillId="58" borderId="27" xfId="0" applyNumberFormat="1" applyFont="1" applyFill="1" applyBorder="1"/>
    <xf numFmtId="3" fontId="8" fillId="58" borderId="0" xfId="0" applyNumberFormat="1" applyFont="1" applyFill="1" applyBorder="1"/>
    <xf numFmtId="0" fontId="8" fillId="0" borderId="21" xfId="98" applyFont="1" applyBorder="1"/>
    <xf numFmtId="0" fontId="8" fillId="0" borderId="23" xfId="0" applyFont="1" applyBorder="1"/>
    <xf numFmtId="0" fontId="94" fillId="60" borderId="0" xfId="103" applyNumberFormat="1" applyFont="1" applyFill="1" applyBorder="1" applyAlignment="1" applyProtection="1">
      <alignment horizontal="center" vertical="center" wrapText="1"/>
    </xf>
    <xf numFmtId="0" fontId="64" fillId="60" borderId="0" xfId="102" applyFont="1" applyFill="1" applyBorder="1" applyAlignment="1">
      <alignment horizontal="right"/>
    </xf>
    <xf numFmtId="0" fontId="8" fillId="0" borderId="22" xfId="0" applyFont="1" applyBorder="1"/>
    <xf numFmtId="0" fontId="22" fillId="60" borderId="19" xfId="99" applyFont="1" applyFill="1" applyBorder="1" applyAlignment="1" applyProtection="1">
      <alignment horizontal="right" vertical="center"/>
    </xf>
    <xf numFmtId="167" fontId="8" fillId="58" borderId="27" xfId="4" applyNumberFormat="1" applyFont="1" applyFill="1" applyBorder="1" applyProtection="1"/>
    <xf numFmtId="3" fontId="8" fillId="69" borderId="27" xfId="0" applyNumberFormat="1" applyFont="1" applyFill="1" applyBorder="1"/>
    <xf numFmtId="0" fontId="61" fillId="0" borderId="0" xfId="0" applyFont="1" applyBorder="1"/>
    <xf numFmtId="0" fontId="87" fillId="0" borderId="0" xfId="99" applyFont="1" applyFill="1" applyBorder="1" applyAlignment="1" applyProtection="1">
      <alignment vertical="center"/>
    </xf>
    <xf numFmtId="0" fontId="64" fillId="0" borderId="0" xfId="0" applyFont="1" applyFill="1" applyBorder="1"/>
    <xf numFmtId="0" fontId="64" fillId="0" borderId="0" xfId="0" applyFont="1" applyFill="1" applyBorder="1" applyAlignment="1">
      <alignment horizontal="center" wrapText="1"/>
    </xf>
    <xf numFmtId="0" fontId="86" fillId="0" borderId="0" xfId="99" applyFont="1" applyFill="1" applyBorder="1" applyAlignment="1" applyProtection="1">
      <alignment horizontal="left" vertical="center"/>
    </xf>
    <xf numFmtId="0" fontId="12" fillId="0" borderId="21" xfId="0" applyFont="1" applyBorder="1"/>
    <xf numFmtId="9" fontId="8" fillId="0" borderId="28" xfId="0" applyNumberFormat="1" applyFont="1" applyBorder="1" applyAlignment="1">
      <alignment horizontal="center"/>
    </xf>
    <xf numFmtId="0" fontId="18" fillId="60" borderId="21" xfId="0" applyFont="1" applyFill="1" applyBorder="1"/>
    <xf numFmtId="0" fontId="12" fillId="0" borderId="21" xfId="4" applyFont="1" applyFill="1" applyBorder="1" applyAlignment="1" applyProtection="1">
      <alignment horizontal="right"/>
    </xf>
    <xf numFmtId="0" fontId="8" fillId="0" borderId="21" xfId="4" applyFont="1" applyFill="1" applyBorder="1"/>
    <xf numFmtId="0" fontId="93" fillId="57" borderId="0" xfId="0" applyFont="1" applyFill="1" applyBorder="1"/>
    <xf numFmtId="0" fontId="18" fillId="60" borderId="21" xfId="53" applyFont="1" applyFill="1" applyBorder="1" applyAlignment="1">
      <alignment horizontal="center"/>
    </xf>
    <xf numFmtId="0" fontId="91" fillId="57" borderId="26" xfId="53" applyFont="1" applyFill="1" applyBorder="1"/>
    <xf numFmtId="0" fontId="91" fillId="57" borderId="43" xfId="53" applyFont="1" applyFill="1" applyBorder="1"/>
    <xf numFmtId="0" fontId="92" fillId="0" borderId="0" xfId="0" applyFont="1" applyFill="1" applyBorder="1"/>
    <xf numFmtId="173" fontId="92" fillId="0" borderId="0" xfId="51" applyNumberFormat="1" applyFont="1" applyFill="1" applyBorder="1"/>
    <xf numFmtId="0" fontId="8" fillId="0" borderId="26" xfId="0" applyFont="1" applyFill="1" applyBorder="1"/>
    <xf numFmtId="0" fontId="68" fillId="60" borderId="21" xfId="98" applyFont="1" applyFill="1" applyBorder="1"/>
    <xf numFmtId="167" fontId="19" fillId="0" borderId="0" xfId="0" applyNumberFormat="1" applyFont="1" applyFill="1" applyBorder="1"/>
    <xf numFmtId="0" fontId="8" fillId="0" borderId="47" xfId="98" applyFont="1" applyBorder="1" applyAlignment="1">
      <alignment horizontal="left"/>
    </xf>
    <xf numFmtId="0" fontId="18" fillId="0" borderId="21" xfId="98" applyFont="1" applyFill="1" applyBorder="1"/>
    <xf numFmtId="0" fontId="8" fillId="57" borderId="26" xfId="0" applyFont="1" applyFill="1" applyBorder="1"/>
    <xf numFmtId="0" fontId="8" fillId="57" borderId="21" xfId="0" applyFont="1" applyFill="1" applyBorder="1"/>
    <xf numFmtId="0" fontId="68" fillId="60" borderId="21" xfId="0" applyFont="1" applyFill="1" applyBorder="1"/>
    <xf numFmtId="0" fontId="63" fillId="0" borderId="22" xfId="0" applyFont="1" applyBorder="1"/>
    <xf numFmtId="3" fontId="8" fillId="0" borderId="21" xfId="99" applyNumberFormat="1" applyFont="1" applyFill="1" applyBorder="1" applyAlignment="1" applyProtection="1">
      <alignment vertical="center"/>
    </xf>
    <xf numFmtId="3" fontId="11" fillId="0" borderId="21" xfId="99" applyNumberFormat="1" applyFont="1" applyFill="1" applyBorder="1" applyAlignment="1" applyProtection="1">
      <alignment vertical="center"/>
    </xf>
    <xf numFmtId="0" fontId="8" fillId="60" borderId="0" xfId="99" applyFont="1" applyFill="1" applyBorder="1" applyAlignment="1" applyProtection="1">
      <alignment vertical="center"/>
    </xf>
    <xf numFmtId="0" fontId="95" fillId="60" borderId="0" xfId="99" applyFont="1" applyFill="1" applyBorder="1" applyAlignment="1" applyProtection="1">
      <alignment horizontal="right" vertical="center"/>
    </xf>
    <xf numFmtId="0" fontId="8" fillId="0" borderId="0" xfId="99" applyFont="1" applyFill="1" applyBorder="1" applyAlignment="1" applyProtection="1">
      <alignment vertical="center"/>
    </xf>
    <xf numFmtId="9" fontId="8" fillId="61" borderId="27" xfId="53" applyNumberFormat="1" applyFont="1" applyFill="1" applyBorder="1" applyAlignment="1">
      <alignment horizontal="center"/>
    </xf>
    <xf numFmtId="10" fontId="8" fillId="61" borderId="27" xfId="0" applyNumberFormat="1" applyFont="1" applyFill="1" applyBorder="1" applyAlignment="1">
      <alignment horizontal="center"/>
    </xf>
    <xf numFmtId="10" fontId="8" fillId="61" borderId="27" xfId="53" applyNumberFormat="1" applyFont="1" applyFill="1" applyBorder="1" applyAlignment="1">
      <alignment horizontal="center"/>
    </xf>
    <xf numFmtId="0" fontId="8" fillId="0" borderId="0" xfId="104" applyFont="1" applyFill="1" applyBorder="1" applyAlignment="1" applyProtection="1">
      <alignment horizontal="left"/>
    </xf>
    <xf numFmtId="10" fontId="8" fillId="61" borderId="27" xfId="92" applyNumberFormat="1" applyFont="1" applyFill="1" applyBorder="1" applyAlignment="1" applyProtection="1">
      <alignment horizontal="right" indent="1"/>
      <protection locked="0"/>
    </xf>
    <xf numFmtId="0" fontId="8" fillId="61" borderId="0" xfId="172" applyFont="1" applyFill="1"/>
    <xf numFmtId="0" fontId="8" fillId="0" borderId="0" xfId="416" applyFont="1"/>
    <xf numFmtId="0" fontId="64" fillId="0" borderId="0" xfId="416" applyFont="1"/>
    <xf numFmtId="0" fontId="97" fillId="0" borderId="0" xfId="416" applyFont="1"/>
    <xf numFmtId="0" fontId="64" fillId="61" borderId="0" xfId="416" applyFont="1" applyFill="1"/>
    <xf numFmtId="0" fontId="8" fillId="0" borderId="42" xfId="416" applyFont="1" applyBorder="1"/>
    <xf numFmtId="0" fontId="97" fillId="0" borderId="0" xfId="172" applyFont="1"/>
    <xf numFmtId="0" fontId="96" fillId="61" borderId="0" xfId="173" applyNumberFormat="1" applyFont="1" applyFill="1" applyBorder="1" applyAlignment="1" applyProtection="1">
      <alignment vertical="center" wrapText="1"/>
    </xf>
    <xf numFmtId="0" fontId="8" fillId="0" borderId="0" xfId="172" applyFont="1" applyBorder="1"/>
    <xf numFmtId="0" fontId="97" fillId="0" borderId="0" xfId="172" applyFont="1" applyBorder="1"/>
    <xf numFmtId="0" fontId="97" fillId="61" borderId="0" xfId="172" applyFont="1" applyFill="1" applyBorder="1" applyAlignment="1"/>
    <xf numFmtId="0" fontId="65" fillId="60" borderId="0" xfId="99" applyFont="1" applyFill="1" applyBorder="1" applyAlignment="1" applyProtection="1">
      <alignment horizontal="left" vertical="center"/>
    </xf>
    <xf numFmtId="0" fontId="65" fillId="0" borderId="0" xfId="99" applyFont="1" applyFill="1" applyBorder="1" applyAlignment="1" applyProtection="1">
      <alignment horizontal="left" vertical="center"/>
    </xf>
    <xf numFmtId="0" fontId="63" fillId="0" borderId="0" xfId="416" applyFont="1"/>
    <xf numFmtId="0" fontId="63" fillId="0" borderId="0" xfId="172" applyFont="1"/>
    <xf numFmtId="0" fontId="66" fillId="61" borderId="0" xfId="173" applyNumberFormat="1" applyFont="1" applyFill="1" applyBorder="1" applyAlignment="1" applyProtection="1">
      <alignment horizontal="center" vertical="center"/>
    </xf>
    <xf numFmtId="0" fontId="8" fillId="57" borderId="0" xfId="102" applyFont="1" applyFill="1" applyBorder="1" applyAlignment="1">
      <alignment horizontal="right"/>
    </xf>
    <xf numFmtId="0" fontId="93" fillId="55" borderId="0" xfId="101" applyFont="1" applyFill="1"/>
    <xf numFmtId="0" fontId="93" fillId="0" borderId="0" xfId="0" applyFont="1"/>
    <xf numFmtId="3" fontId="8" fillId="61" borderId="0" xfId="172" applyNumberFormat="1" applyFont="1" applyFill="1" applyBorder="1"/>
    <xf numFmtId="10" fontId="63" fillId="0" borderId="0" xfId="4" applyNumberFormat="1" applyFont="1" applyFill="1" applyBorder="1"/>
    <xf numFmtId="0" fontId="8" fillId="0" borderId="0" xfId="99" applyFont="1" applyFill="1" applyBorder="1" applyAlignment="1" applyProtection="1">
      <alignment horizontal="right" vertical="center"/>
    </xf>
    <xf numFmtId="0" fontId="8" fillId="0" borderId="0" xfId="172" applyFont="1" applyFill="1" applyBorder="1"/>
    <xf numFmtId="3" fontId="8" fillId="0" borderId="0" xfId="172" applyNumberFormat="1" applyFont="1" applyFill="1" applyBorder="1"/>
    <xf numFmtId="0" fontId="59" fillId="61" borderId="0" xfId="173" applyNumberFormat="1" applyFont="1" applyFill="1" applyBorder="1" applyAlignment="1" applyProtection="1">
      <alignment horizontal="center" vertical="center"/>
    </xf>
    <xf numFmtId="0" fontId="64" fillId="61" borderId="0" xfId="172" applyFont="1" applyFill="1"/>
    <xf numFmtId="3" fontId="64" fillId="0" borderId="0" xfId="172" applyNumberFormat="1" applyFont="1"/>
    <xf numFmtId="0" fontId="94" fillId="61" borderId="0" xfId="173" applyNumberFormat="1" applyFont="1" applyFill="1" applyBorder="1" applyAlignment="1" applyProtection="1">
      <alignment horizontal="center" vertical="center"/>
    </xf>
    <xf numFmtId="174" fontId="8" fillId="58" borderId="27" xfId="0" applyNumberFormat="1" applyFont="1" applyFill="1" applyBorder="1"/>
    <xf numFmtId="0" fontId="8" fillId="57" borderId="0" xfId="0" applyFont="1" applyFill="1" applyBorder="1"/>
    <xf numFmtId="0" fontId="8" fillId="57" borderId="27" xfId="0" applyFont="1" applyFill="1" applyBorder="1"/>
    <xf numFmtId="0" fontId="8" fillId="57" borderId="27" xfId="4" applyFont="1" applyFill="1" applyBorder="1"/>
    <xf numFmtId="0" fontId="8" fillId="57" borderId="22" xfId="0" applyFont="1" applyFill="1" applyBorder="1"/>
    <xf numFmtId="172" fontId="8" fillId="58" borderId="27" xfId="4" applyNumberFormat="1" applyFont="1" applyFill="1" applyBorder="1"/>
    <xf numFmtId="0" fontId="8" fillId="0" borderId="22" xfId="0" applyFont="1" applyFill="1" applyBorder="1"/>
    <xf numFmtId="174" fontId="8" fillId="58" borderId="27" xfId="0" applyNumberFormat="1" applyFont="1" applyFill="1" applyBorder="1" applyAlignment="1">
      <alignment horizontal="center"/>
    </xf>
    <xf numFmtId="10" fontId="8" fillId="42" borderId="27" xfId="55" applyNumberFormat="1" applyFont="1" applyFill="1" applyBorder="1"/>
    <xf numFmtId="10" fontId="8" fillId="58" borderId="27" xfId="55" applyNumberFormat="1" applyFont="1" applyFill="1" applyBorder="1"/>
    <xf numFmtId="0" fontId="8" fillId="0" borderId="21" xfId="4" applyFont="1" applyFill="1" applyBorder="1" applyAlignment="1" applyProtection="1">
      <alignment horizontal="right"/>
    </xf>
    <xf numFmtId="167" fontId="8" fillId="58" borderId="27" xfId="4" applyNumberFormat="1" applyFont="1" applyFill="1" applyBorder="1"/>
    <xf numFmtId="167" fontId="8" fillId="73" borderId="27" xfId="4" applyNumberFormat="1" applyFont="1" applyFill="1" applyBorder="1"/>
    <xf numFmtId="0" fontId="8" fillId="61" borderId="0" xfId="0" applyFont="1" applyFill="1" applyBorder="1"/>
    <xf numFmtId="0" fontId="12" fillId="61" borderId="21" xfId="0" applyFont="1" applyFill="1" applyBorder="1"/>
    <xf numFmtId="0" fontId="64" fillId="0" borderId="0" xfId="0" applyFont="1" applyFill="1"/>
    <xf numFmtId="0" fontId="86" fillId="60" borderId="18" xfId="99" applyFont="1" applyFill="1" applyBorder="1" applyAlignment="1" applyProtection="1">
      <alignment horizontal="left" vertical="center"/>
    </xf>
    <xf numFmtId="169" fontId="8" fillId="0" borderId="0" xfId="0" applyNumberFormat="1" applyFont="1"/>
    <xf numFmtId="0" fontId="8" fillId="61" borderId="0" xfId="0" applyFont="1" applyFill="1"/>
    <xf numFmtId="0" fontId="98" fillId="60" borderId="0" xfId="99" applyFont="1" applyFill="1" applyBorder="1" applyAlignment="1" applyProtection="1">
      <alignment horizontal="left" vertical="center"/>
    </xf>
    <xf numFmtId="0" fontId="8" fillId="73" borderId="27" xfId="0" applyFont="1" applyFill="1" applyBorder="1"/>
    <xf numFmtId="0" fontId="8" fillId="60" borderId="0" xfId="0" applyFont="1" applyFill="1" applyBorder="1"/>
    <xf numFmtId="0" fontId="8" fillId="0" borderId="36" xfId="0" applyFont="1" applyBorder="1"/>
    <xf numFmtId="0" fontId="68" fillId="61" borderId="0" xfId="99" applyFont="1" applyFill="1" applyBorder="1" applyAlignment="1" applyProtection="1">
      <alignment horizontal="left"/>
    </xf>
    <xf numFmtId="0" fontId="63" fillId="61" borderId="0" xfId="172" applyFont="1" applyFill="1"/>
    <xf numFmtId="3" fontId="63" fillId="0" borderId="0" xfId="172" applyNumberFormat="1" applyFont="1"/>
    <xf numFmtId="3" fontId="63" fillId="61" borderId="0" xfId="0" applyNumberFormat="1" applyFont="1" applyFill="1" applyBorder="1"/>
    <xf numFmtId="0" fontId="65" fillId="57" borderId="0" xfId="0" applyFont="1" applyFill="1" applyBorder="1"/>
    <xf numFmtId="0" fontId="23" fillId="61" borderId="0" xfId="98" applyFont="1" applyFill="1" applyBorder="1"/>
    <xf numFmtId="3" fontId="63" fillId="61" borderId="0" xfId="98" applyNumberFormat="1" applyFont="1" applyFill="1" applyBorder="1" applyAlignment="1"/>
    <xf numFmtId="10" fontId="63" fillId="61" borderId="0" xfId="4" applyNumberFormat="1" applyFont="1" applyFill="1" applyBorder="1"/>
    <xf numFmtId="0" fontId="18" fillId="0" borderId="0" xfId="0" applyFont="1" applyFill="1" applyBorder="1"/>
    <xf numFmtId="0" fontId="19" fillId="61" borderId="0" xfId="0" applyFont="1" applyFill="1" applyBorder="1"/>
    <xf numFmtId="0" fontId="8" fillId="0" borderId="26" xfId="98" applyFont="1" applyBorder="1" applyAlignment="1"/>
    <xf numFmtId="0" fontId="8" fillId="0" borderId="48" xfId="98" applyFont="1" applyBorder="1" applyAlignment="1"/>
    <xf numFmtId="0" fontId="8" fillId="57" borderId="0" xfId="0" applyFont="1" applyFill="1" applyBorder="1" applyAlignment="1"/>
    <xf numFmtId="0" fontId="8" fillId="0" borderId="0" xfId="0" applyFont="1" applyFill="1" applyBorder="1" applyAlignment="1"/>
    <xf numFmtId="0" fontId="0" fillId="0" borderId="0" xfId="0" applyBorder="1" applyAlignment="1"/>
    <xf numFmtId="0" fontId="19" fillId="0" borderId="0" xfId="0" applyFont="1" applyFill="1" applyBorder="1" applyAlignment="1"/>
    <xf numFmtId="167" fontId="19" fillId="0" borderId="0" xfId="0" applyNumberFormat="1" applyFont="1" applyFill="1" applyBorder="1" applyAlignment="1"/>
    <xf numFmtId="167" fontId="63" fillId="0" borderId="0" xfId="0" applyNumberFormat="1" applyFont="1" applyBorder="1" applyAlignment="1"/>
    <xf numFmtId="0" fontId="63" fillId="0" borderId="0" xfId="0" applyFont="1" applyBorder="1" applyAlignment="1"/>
    <xf numFmtId="0" fontId="0" fillId="0" borderId="0" xfId="0" applyAlignment="1"/>
    <xf numFmtId="167" fontId="0" fillId="0" borderId="0" xfId="0" applyNumberFormat="1" applyAlignment="1"/>
    <xf numFmtId="10" fontId="8" fillId="0" borderId="0" xfId="55" applyNumberFormat="1" applyFont="1" applyFill="1" applyBorder="1"/>
    <xf numFmtId="10" fontId="8" fillId="61" borderId="27" xfId="55" applyNumberFormat="1" applyFont="1" applyFill="1" applyBorder="1" applyAlignment="1" applyProtection="1">
      <alignment horizontal="right"/>
    </xf>
    <xf numFmtId="10" fontId="8" fillId="0" borderId="27" xfId="55" applyNumberFormat="1" applyFont="1" applyFill="1" applyBorder="1" applyAlignment="1" applyProtection="1">
      <alignment horizontal="right"/>
    </xf>
    <xf numFmtId="10" fontId="8" fillId="0" borderId="27" xfId="92" applyNumberFormat="1" applyFont="1" applyFill="1" applyBorder="1" applyAlignment="1" applyProtection="1">
      <alignment horizontal="right" indent="1"/>
      <protection locked="0"/>
    </xf>
    <xf numFmtId="9" fontId="8" fillId="0" borderId="27" xfId="92" applyNumberFormat="1" applyFont="1" applyFill="1" applyBorder="1" applyAlignment="1" applyProtection="1">
      <alignment horizontal="right" indent="1"/>
      <protection locked="0"/>
    </xf>
    <xf numFmtId="0" fontId="12" fillId="0" borderId="0" xfId="99" applyFont="1" applyFill="1" applyBorder="1" applyAlignment="1" applyProtection="1">
      <alignment horizontal="left" vertical="center"/>
    </xf>
    <xf numFmtId="0" fontId="68" fillId="0" borderId="0" xfId="0" applyFont="1" applyFill="1"/>
    <xf numFmtId="3" fontId="8" fillId="58" borderId="33" xfId="0" applyNumberFormat="1" applyFont="1" applyFill="1" applyBorder="1" applyAlignment="1">
      <alignment horizontal="right" vertical="top"/>
    </xf>
    <xf numFmtId="0" fontId="8" fillId="61" borderId="0" xfId="0" applyFont="1" applyFill="1" applyBorder="1" applyAlignment="1"/>
    <xf numFmtId="0" fontId="8" fillId="61" borderId="22" xfId="0" applyFont="1" applyFill="1" applyBorder="1"/>
    <xf numFmtId="0" fontId="14" fillId="0" borderId="0" xfId="0" applyFont="1" applyFill="1"/>
    <xf numFmtId="0" fontId="101" fillId="60" borderId="0" xfId="99" applyFont="1" applyFill="1" applyBorder="1" applyAlignment="1" applyProtection="1">
      <alignment horizontal="left" vertical="center"/>
    </xf>
    <xf numFmtId="0" fontId="101" fillId="60" borderId="0" xfId="99" applyFont="1" applyFill="1" applyBorder="1" applyAlignment="1" applyProtection="1">
      <alignment horizontal="center" vertical="center"/>
    </xf>
    <xf numFmtId="0" fontId="85" fillId="0" borderId="0" xfId="416" applyFont="1"/>
    <xf numFmtId="0" fontId="101" fillId="60" borderId="0" xfId="99" applyFont="1" applyFill="1" applyBorder="1" applyAlignment="1" applyProtection="1">
      <alignment horizontal="center" vertical="center" wrapText="1"/>
    </xf>
    <xf numFmtId="0" fontId="85" fillId="0" borderId="0" xfId="172" applyFont="1"/>
    <xf numFmtId="0" fontId="101" fillId="57" borderId="21" xfId="0" applyFont="1" applyFill="1" applyBorder="1" applyAlignment="1">
      <alignment horizontal="left"/>
    </xf>
    <xf numFmtId="173" fontId="85" fillId="57" borderId="0" xfId="51" applyNumberFormat="1" applyFont="1" applyFill="1" applyBorder="1"/>
    <xf numFmtId="0" fontId="85" fillId="57" borderId="0" xfId="0" applyFont="1" applyFill="1" applyBorder="1"/>
    <xf numFmtId="0" fontId="85" fillId="57" borderId="22" xfId="0" applyFont="1" applyFill="1" applyBorder="1"/>
    <xf numFmtId="0" fontId="85" fillId="0" borderId="0" xfId="0" applyFont="1" applyFill="1" applyBorder="1"/>
    <xf numFmtId="14" fontId="8" fillId="0" borderId="28" xfId="172" applyNumberFormat="1" applyFont="1" applyFill="1" applyBorder="1" applyAlignment="1">
      <alignment horizontal="center"/>
    </xf>
    <xf numFmtId="3" fontId="8" fillId="69" borderId="28" xfId="172" applyNumberFormat="1" applyFont="1" applyFill="1" applyBorder="1"/>
    <xf numFmtId="0" fontId="8" fillId="0" borderId="27" xfId="0" applyFont="1" applyFill="1" applyBorder="1"/>
    <xf numFmtId="14" fontId="8" fillId="0" borderId="27" xfId="172" applyNumberFormat="1" applyFont="1" applyFill="1" applyBorder="1" applyAlignment="1">
      <alignment horizontal="center"/>
    </xf>
    <xf numFmtId="3" fontId="8" fillId="77" borderId="27" xfId="172" applyNumberFormat="1" applyFont="1" applyFill="1" applyBorder="1"/>
    <xf numFmtId="3" fontId="8" fillId="73" borderId="27" xfId="0" applyNumberFormat="1" applyFont="1" applyFill="1" applyBorder="1"/>
    <xf numFmtId="3" fontId="8" fillId="73" borderId="28" xfId="351" applyNumberFormat="1" applyFont="1" applyFill="1" applyBorder="1"/>
    <xf numFmtId="3" fontId="8" fillId="78" borderId="27" xfId="0" applyNumberFormat="1" applyFont="1" applyFill="1" applyBorder="1"/>
    <xf numFmtId="0" fontId="8" fillId="0" borderId="24" xfId="0" applyFont="1" applyBorder="1"/>
    <xf numFmtId="0" fontId="8" fillId="0" borderId="29" xfId="0" applyFont="1" applyFill="1" applyBorder="1"/>
    <xf numFmtId="0" fontId="8" fillId="61" borderId="21" xfId="4" applyFont="1" applyFill="1" applyBorder="1"/>
    <xf numFmtId="0" fontId="8" fillId="61" borderId="0" xfId="4" applyFont="1" applyFill="1" applyBorder="1"/>
    <xf numFmtId="0" fontId="8" fillId="61" borderId="21" xfId="0" applyFont="1" applyFill="1" applyBorder="1"/>
    <xf numFmtId="167" fontId="8" fillId="0" borderId="0" xfId="0" applyNumberFormat="1" applyFont="1" applyFill="1"/>
    <xf numFmtId="10" fontId="8" fillId="0" borderId="0" xfId="4" applyNumberFormat="1" applyFont="1" applyFill="1" applyBorder="1"/>
    <xf numFmtId="0" fontId="8" fillId="57" borderId="0" xfId="4" applyFont="1" applyFill="1" applyBorder="1"/>
    <xf numFmtId="167" fontId="8" fillId="0" borderId="0" xfId="0" applyNumberFormat="1" applyFont="1"/>
    <xf numFmtId="3" fontId="8" fillId="74" borderId="46" xfId="0" applyNumberFormat="1" applyFont="1" applyFill="1" applyBorder="1"/>
    <xf numFmtId="3" fontId="23" fillId="69" borderId="27" xfId="98" applyNumberFormat="1" applyFont="1" applyFill="1" applyBorder="1"/>
    <xf numFmtId="173" fontId="8" fillId="0" borderId="0" xfId="51" applyNumberFormat="1" applyFont="1" applyBorder="1"/>
    <xf numFmtId="3" fontId="8" fillId="0" borderId="27" xfId="351" applyNumberFormat="1" applyFont="1" applyFill="1" applyBorder="1"/>
    <xf numFmtId="3" fontId="8" fillId="73" borderId="28" xfId="172" applyNumberFormat="1" applyFont="1" applyFill="1" applyBorder="1"/>
    <xf numFmtId="3" fontId="8" fillId="73" borderId="27" xfId="172" applyNumberFormat="1" applyFont="1" applyFill="1" applyBorder="1"/>
    <xf numFmtId="3" fontId="8" fillId="0" borderId="27" xfId="0" applyNumberFormat="1" applyFont="1" applyFill="1" applyBorder="1"/>
    <xf numFmtId="14" fontId="8" fillId="0" borderId="37" xfId="172" applyNumberFormat="1" applyFont="1" applyFill="1" applyBorder="1" applyAlignment="1">
      <alignment horizontal="center"/>
    </xf>
    <xf numFmtId="3" fontId="8" fillId="73" borderId="37" xfId="351" applyNumberFormat="1" applyFont="1" applyFill="1" applyBorder="1"/>
    <xf numFmtId="3" fontId="8" fillId="0" borderId="37" xfId="351" applyNumberFormat="1" applyFont="1" applyFill="1" applyBorder="1"/>
    <xf numFmtId="3" fontId="8" fillId="73" borderId="37" xfId="172" applyNumberFormat="1" applyFont="1" applyFill="1" applyBorder="1"/>
    <xf numFmtId="3" fontId="8" fillId="69" borderId="37" xfId="172" applyNumberFormat="1" applyFont="1" applyFill="1" applyBorder="1"/>
    <xf numFmtId="0" fontId="68" fillId="73" borderId="0" xfId="98" applyFont="1" applyFill="1" applyBorder="1"/>
    <xf numFmtId="3" fontId="8" fillId="74" borderId="28" xfId="98" applyNumberFormat="1" applyFont="1" applyFill="1" applyBorder="1"/>
    <xf numFmtId="172" fontId="8" fillId="61" borderId="0" xfId="4" applyNumberFormat="1" applyFont="1" applyFill="1" applyBorder="1"/>
    <xf numFmtId="167" fontId="8" fillId="61" borderId="0" xfId="4" applyNumberFormat="1" applyFont="1" applyFill="1" applyBorder="1" applyProtection="1"/>
    <xf numFmtId="0" fontId="8" fillId="0" borderId="0" xfId="0" applyFont="1" applyBorder="1" applyAlignment="1"/>
    <xf numFmtId="167" fontId="8" fillId="0" borderId="0" xfId="0" applyNumberFormat="1" applyFont="1" applyFill="1" applyBorder="1" applyAlignment="1"/>
    <xf numFmtId="0" fontId="8" fillId="57" borderId="47" xfId="53" applyFont="1" applyFill="1" applyBorder="1"/>
    <xf numFmtId="0" fontId="8" fillId="57" borderId="28" xfId="53" applyFont="1" applyFill="1" applyBorder="1" applyAlignment="1">
      <alignment horizontal="center"/>
    </xf>
    <xf numFmtId="0" fontId="8" fillId="0" borderId="28" xfId="53" applyFont="1" applyFill="1" applyBorder="1" applyAlignment="1">
      <alignment horizontal="center"/>
    </xf>
    <xf numFmtId="9" fontId="8" fillId="0" borderId="28" xfId="53" applyNumberFormat="1" applyFont="1" applyFill="1" applyBorder="1" applyAlignment="1">
      <alignment horizontal="center"/>
    </xf>
    <xf numFmtId="0" fontId="8" fillId="57" borderId="26" xfId="53" applyFont="1" applyFill="1" applyBorder="1"/>
    <xf numFmtId="0" fontId="8" fillId="57" borderId="27" xfId="53" applyFont="1" applyFill="1" applyBorder="1" applyAlignment="1">
      <alignment horizontal="center"/>
    </xf>
    <xf numFmtId="0" fontId="8" fillId="0" borderId="27" xfId="53" applyFont="1" applyFill="1" applyBorder="1" applyAlignment="1">
      <alignment horizontal="center"/>
    </xf>
    <xf numFmtId="9" fontId="8" fillId="0" borderId="27" xfId="53" applyNumberFormat="1" applyFont="1" applyFill="1" applyBorder="1" applyAlignment="1">
      <alignment horizontal="center"/>
    </xf>
    <xf numFmtId="11" fontId="8" fillId="0" borderId="27" xfId="53" applyNumberFormat="1" applyFont="1" applyFill="1" applyBorder="1" applyAlignment="1">
      <alignment horizontal="center"/>
    </xf>
    <xf numFmtId="3" fontId="8" fillId="0" borderId="0" xfId="0" applyNumberFormat="1" applyFont="1" applyBorder="1"/>
    <xf numFmtId="0" fontId="8" fillId="61" borderId="27" xfId="0" applyFont="1" applyFill="1" applyBorder="1"/>
    <xf numFmtId="167" fontId="8" fillId="0" borderId="0" xfId="0" applyNumberFormat="1" applyFont="1" applyBorder="1" applyAlignment="1"/>
    <xf numFmtId="0" fontId="23" fillId="0" borderId="28" xfId="98" applyFont="1" applyFill="1" applyBorder="1"/>
    <xf numFmtId="0" fontId="8" fillId="0" borderId="44" xfId="0" applyFont="1" applyBorder="1"/>
    <xf numFmtId="0" fontId="23" fillId="0" borderId="0" xfId="98" applyFont="1" applyFill="1" applyBorder="1" applyAlignment="1">
      <alignment horizontal="left" indent="1"/>
    </xf>
    <xf numFmtId="0" fontId="8" fillId="61" borderId="24" xfId="0" applyFont="1" applyFill="1" applyBorder="1"/>
    <xf numFmtId="0" fontId="64" fillId="60" borderId="0" xfId="174" applyFont="1" applyFill="1"/>
    <xf numFmtId="0" fontId="64" fillId="0" borderId="0" xfId="174" applyFont="1"/>
    <xf numFmtId="0" fontId="91" fillId="0" borderId="0" xfId="174" applyFont="1"/>
    <xf numFmtId="0" fontId="65" fillId="61" borderId="0" xfId="173" applyNumberFormat="1" applyFont="1" applyFill="1" applyBorder="1" applyAlignment="1" applyProtection="1">
      <alignment horizontal="center" vertical="center"/>
    </xf>
    <xf numFmtId="0" fontId="68" fillId="61" borderId="0" xfId="173" applyNumberFormat="1" applyFont="1" applyFill="1" applyBorder="1" applyAlignment="1" applyProtection="1">
      <alignment horizontal="center" vertical="center"/>
    </xf>
    <xf numFmtId="0" fontId="12" fillId="61" borderId="0" xfId="173" applyNumberFormat="1" applyFont="1" applyFill="1" applyBorder="1" applyAlignment="1" applyProtection="1">
      <alignment horizontal="center" vertical="center"/>
    </xf>
    <xf numFmtId="0" fontId="8" fillId="0" borderId="21" xfId="104" applyFont="1" applyBorder="1" applyAlignment="1" applyProtection="1">
      <alignment horizontal="left"/>
    </xf>
    <xf numFmtId="10" fontId="8" fillId="42" borderId="32" xfId="55" applyNumberFormat="1" applyFont="1" applyFill="1" applyBorder="1"/>
    <xf numFmtId="10" fontId="102" fillId="0" borderId="0" xfId="55" applyNumberFormat="1" applyFont="1" applyFill="1" applyBorder="1"/>
    <xf numFmtId="0" fontId="102" fillId="0" borderId="0" xfId="1" applyFont="1" applyBorder="1" applyProtection="1"/>
    <xf numFmtId="0" fontId="8" fillId="57" borderId="0" xfId="1" applyFont="1" applyFill="1" applyBorder="1" applyAlignment="1" applyProtection="1">
      <alignment horizontal="right"/>
    </xf>
    <xf numFmtId="0" fontId="12" fillId="57" borderId="0" xfId="1" applyFont="1" applyFill="1" applyBorder="1" applyAlignment="1">
      <alignment horizontal="right"/>
    </xf>
    <xf numFmtId="0" fontId="8" fillId="57" borderId="0" xfId="1" applyFont="1" applyFill="1" applyBorder="1" applyAlignment="1">
      <alignment horizontal="right"/>
    </xf>
    <xf numFmtId="0" fontId="8" fillId="0" borderId="0" xfId="1" applyFont="1" applyFill="1"/>
    <xf numFmtId="0" fontId="8" fillId="57" borderId="0" xfId="1" applyFont="1" applyFill="1" applyBorder="1"/>
    <xf numFmtId="0" fontId="8" fillId="57" borderId="0" xfId="1" applyFont="1" applyFill="1" applyBorder="1" applyAlignment="1" applyProtection="1">
      <alignment horizontal="center"/>
    </xf>
    <xf numFmtId="0" fontId="8" fillId="0" borderId="0" xfId="1" applyFont="1" applyBorder="1" applyProtection="1"/>
    <xf numFmtId="170" fontId="8" fillId="0" borderId="27" xfId="1" applyNumberFormat="1" applyFont="1" applyFill="1" applyBorder="1" applyProtection="1"/>
    <xf numFmtId="0" fontId="102" fillId="0" borderId="0" xfId="1" applyFont="1" applyProtection="1"/>
    <xf numFmtId="0" fontId="8" fillId="57" borderId="0" xfId="1" applyFont="1" applyFill="1" applyProtection="1"/>
    <xf numFmtId="169" fontId="8" fillId="57" borderId="0" xfId="1" applyNumberFormat="1" applyFont="1" applyFill="1" applyBorder="1" applyProtection="1"/>
    <xf numFmtId="170" fontId="8" fillId="57" borderId="0" xfId="1" applyNumberFormat="1" applyFont="1" applyFill="1" applyBorder="1" applyProtection="1"/>
    <xf numFmtId="0" fontId="8" fillId="57" borderId="0" xfId="1" applyFont="1" applyFill="1" applyBorder="1" applyProtection="1"/>
    <xf numFmtId="170" fontId="8" fillId="57" borderId="0" xfId="1" applyNumberFormat="1" applyFont="1" applyFill="1" applyProtection="1"/>
    <xf numFmtId="171" fontId="8" fillId="57" borderId="0" xfId="1" applyNumberFormat="1" applyFont="1" applyFill="1" applyBorder="1" applyProtection="1"/>
    <xf numFmtId="2" fontId="8" fillId="0" borderId="27" xfId="1" applyNumberFormat="1" applyFont="1" applyFill="1" applyBorder="1" applyProtection="1"/>
    <xf numFmtId="0" fontId="8" fillId="57" borderId="0" xfId="1" applyFont="1" applyFill="1"/>
    <xf numFmtId="0" fontId="103" fillId="0" borderId="0" xfId="1" applyFont="1" applyProtection="1"/>
    <xf numFmtId="0" fontId="8" fillId="0" borderId="0" xfId="1" applyFont="1" applyFill="1" applyBorder="1" applyProtection="1"/>
    <xf numFmtId="0" fontId="12" fillId="0" borderId="0" xfId="1" applyFont="1" applyBorder="1" applyAlignment="1" applyProtection="1">
      <alignment horizontal="right"/>
    </xf>
    <xf numFmtId="0" fontId="12" fillId="0" borderId="22" xfId="1" applyFont="1" applyBorder="1" applyAlignment="1" applyProtection="1">
      <alignment horizontal="right"/>
    </xf>
    <xf numFmtId="0" fontId="8" fillId="57" borderId="24" xfId="1" applyFont="1" applyFill="1" applyBorder="1"/>
    <xf numFmtId="0" fontId="8" fillId="57" borderId="22" xfId="1" applyFont="1" applyFill="1" applyBorder="1"/>
    <xf numFmtId="0" fontId="8" fillId="57" borderId="31" xfId="1" applyFont="1" applyFill="1" applyBorder="1"/>
    <xf numFmtId="167" fontId="8" fillId="42" borderId="28" xfId="1" applyNumberFormat="1" applyFont="1" applyFill="1" applyBorder="1" applyProtection="1"/>
    <xf numFmtId="172" fontId="8" fillId="42" borderId="31" xfId="1" applyNumberFormat="1" applyFont="1" applyFill="1" applyBorder="1"/>
    <xf numFmtId="0" fontId="8" fillId="0" borderId="27" xfId="1" applyFont="1" applyBorder="1" applyProtection="1"/>
    <xf numFmtId="167" fontId="8" fillId="42" borderId="27" xfId="1" applyNumberFormat="1" applyFont="1" applyFill="1" applyBorder="1" applyProtection="1"/>
    <xf numFmtId="0" fontId="8" fillId="55" borderId="27" xfId="1" applyFont="1" applyFill="1" applyBorder="1" applyProtection="1"/>
    <xf numFmtId="0" fontId="8" fillId="55" borderId="27" xfId="1" applyFont="1" applyFill="1" applyBorder="1"/>
    <xf numFmtId="0" fontId="8" fillId="57" borderId="27" xfId="1" applyFont="1" applyFill="1" applyBorder="1"/>
    <xf numFmtId="0" fontId="63" fillId="55" borderId="27" xfId="1" applyFont="1" applyFill="1" applyBorder="1"/>
    <xf numFmtId="0" fontId="101" fillId="0" borderId="0" xfId="99" applyFont="1" applyFill="1" applyBorder="1" applyAlignment="1" applyProtection="1">
      <alignment horizontal="left" vertical="center"/>
    </xf>
    <xf numFmtId="0" fontId="101" fillId="0" borderId="0" xfId="99" applyFont="1" applyFill="1" applyBorder="1" applyAlignment="1" applyProtection="1">
      <alignment horizontal="center" vertical="center"/>
    </xf>
    <xf numFmtId="0" fontId="85" fillId="0" borderId="0" xfId="416" applyFont="1" applyFill="1"/>
    <xf numFmtId="0" fontId="101" fillId="0" borderId="0" xfId="99" applyFont="1" applyFill="1" applyBorder="1" applyAlignment="1" applyProtection="1">
      <alignment horizontal="center" vertical="center" wrapText="1"/>
    </xf>
    <xf numFmtId="0" fontId="85" fillId="0" borderId="0" xfId="172" applyFont="1" applyFill="1"/>
    <xf numFmtId="0" fontId="18" fillId="0" borderId="0" xfId="1" applyFont="1" applyFill="1" applyBorder="1" applyAlignment="1">
      <alignment vertical="top" wrapText="1"/>
    </xf>
    <xf numFmtId="0" fontId="18" fillId="0" borderId="0" xfId="103" applyNumberFormat="1" applyFont="1" applyFill="1" applyBorder="1" applyAlignment="1" applyProtection="1">
      <alignment horizontal="center" vertical="center" wrapText="1"/>
    </xf>
    <xf numFmtId="3" fontId="65" fillId="0" borderId="0" xfId="103" applyNumberFormat="1" applyFont="1" applyFill="1" applyBorder="1" applyAlignment="1" applyProtection="1">
      <alignment horizontal="center" vertical="center"/>
    </xf>
    <xf numFmtId="0" fontId="68" fillId="75" borderId="0" xfId="173" applyNumberFormat="1" applyFont="1" applyFill="1" applyBorder="1" applyAlignment="1" applyProtection="1">
      <alignment horizontal="center" vertical="center" wrapText="1"/>
    </xf>
    <xf numFmtId="3" fontId="8" fillId="69" borderId="27" xfId="99" applyNumberFormat="1" applyFont="1" applyFill="1" applyBorder="1" applyAlignment="1" applyProtection="1">
      <alignment horizontal="right" vertical="center"/>
    </xf>
    <xf numFmtId="0" fontId="68" fillId="0" borderId="0" xfId="1" applyFont="1" applyFill="1" applyAlignment="1">
      <alignment vertical="top"/>
    </xf>
    <xf numFmtId="3" fontId="8" fillId="58" borderId="27" xfId="178" applyNumberFormat="1" applyFont="1" applyFill="1" applyBorder="1"/>
    <xf numFmtId="0" fontId="23" fillId="0" borderId="21" xfId="178" applyFont="1" applyFill="1" applyBorder="1"/>
    <xf numFmtId="0" fontId="23" fillId="0" borderId="0" xfId="178" applyFont="1" applyFill="1" applyBorder="1"/>
    <xf numFmtId="167" fontId="11" fillId="0" borderId="0" xfId="92" quotePrefix="1" applyNumberFormat="1" applyFont="1" applyFill="1" applyBorder="1" applyAlignment="1" applyProtection="1">
      <alignment horizontal="left" vertical="center" indent="1"/>
      <protection locked="0"/>
    </xf>
    <xf numFmtId="167" fontId="11" fillId="42" borderId="27" xfId="92" quotePrefix="1" applyNumberFormat="1" applyFont="1" applyFill="1" applyBorder="1" applyAlignment="1" applyProtection="1">
      <alignment horizontal="left" vertical="center" indent="1"/>
      <protection locked="0"/>
    </xf>
    <xf numFmtId="167" fontId="8" fillId="42" borderId="27" xfId="92" quotePrefix="1" applyNumberFormat="1" applyFont="1" applyFill="1" applyBorder="1" applyAlignment="1" applyProtection="1">
      <alignment horizontal="left" vertical="center" indent="1"/>
      <protection locked="0"/>
    </xf>
    <xf numFmtId="167" fontId="8" fillId="42" borderId="27" xfId="92" applyNumberFormat="1" applyFont="1" applyFill="1" applyBorder="1" applyAlignment="1" applyProtection="1">
      <alignment horizontal="left" vertical="center" indent="1"/>
      <protection locked="0"/>
    </xf>
    <xf numFmtId="0" fontId="8" fillId="0" borderId="21" xfId="178" applyFont="1" applyBorder="1" applyAlignment="1"/>
    <xf numFmtId="167" fontId="8" fillId="59" borderId="27" xfId="0" applyNumberFormat="1" applyFont="1" applyFill="1" applyBorder="1"/>
    <xf numFmtId="3" fontId="0" fillId="0" borderId="0" xfId="0" applyNumberFormat="1"/>
    <xf numFmtId="3" fontId="8" fillId="0" borderId="37" xfId="172" applyNumberFormat="1" applyFont="1" applyFill="1" applyBorder="1"/>
    <xf numFmtId="0" fontId="12" fillId="0" borderId="0" xfId="0" applyFont="1" applyBorder="1"/>
    <xf numFmtId="0" fontId="64" fillId="75" borderId="0" xfId="0" applyFont="1" applyFill="1" applyBorder="1"/>
    <xf numFmtId="10" fontId="8" fillId="0" borderId="33" xfId="55" applyNumberFormat="1" applyFont="1" applyFill="1" applyBorder="1" applyAlignment="1" applyProtection="1">
      <alignment horizontal="right"/>
    </xf>
    <xf numFmtId="2" fontId="8" fillId="0" borderId="33" xfId="1" applyNumberFormat="1" applyFont="1" applyFill="1" applyBorder="1" applyProtection="1"/>
    <xf numFmtId="0" fontId="101" fillId="60" borderId="0" xfId="99" applyFont="1" applyFill="1" applyBorder="1" applyAlignment="1" applyProtection="1">
      <alignment horizontal="center" vertical="center"/>
    </xf>
    <xf numFmtId="173" fontId="8" fillId="42" borderId="33" xfId="51" applyNumberFormat="1" applyFont="1" applyFill="1" applyBorder="1"/>
    <xf numFmtId="0" fontId="22" fillId="60" borderId="19" xfId="99" applyFont="1" applyFill="1" applyBorder="1" applyAlignment="1" applyProtection="1">
      <alignment horizontal="right" vertical="center"/>
    </xf>
    <xf numFmtId="0" fontId="8" fillId="57" borderId="0" xfId="0" applyFont="1" applyFill="1" applyBorder="1" applyAlignment="1">
      <alignment horizontal="center"/>
    </xf>
    <xf numFmtId="0" fontId="8" fillId="61" borderId="0" xfId="520" applyFont="1" applyFill="1" applyBorder="1"/>
    <xf numFmtId="0" fontId="17" fillId="75" borderId="18" xfId="99" applyFont="1" applyFill="1" applyBorder="1" applyAlignment="1" applyProtection="1">
      <alignment horizontal="left" vertical="center"/>
    </xf>
    <xf numFmtId="0" fontId="14" fillId="75" borderId="19" xfId="99" applyFont="1" applyFill="1" applyBorder="1" applyAlignment="1" applyProtection="1">
      <alignment vertical="center"/>
    </xf>
    <xf numFmtId="0" fontId="14" fillId="61" borderId="0" xfId="99" applyFont="1" applyFill="1" applyBorder="1" applyAlignment="1" applyProtection="1">
      <alignment vertical="center"/>
    </xf>
    <xf numFmtId="0" fontId="22" fillId="60" borderId="51" xfId="99" applyFont="1" applyFill="1" applyBorder="1" applyAlignment="1" applyProtection="1">
      <alignment vertical="center"/>
    </xf>
    <xf numFmtId="0" fontId="22" fillId="60" borderId="51" xfId="99" applyFont="1" applyFill="1" applyBorder="1" applyAlignment="1" applyProtection="1">
      <alignment horizontal="right" vertical="center"/>
    </xf>
    <xf numFmtId="0" fontId="18" fillId="60" borderId="21" xfId="178" applyFont="1" applyFill="1" applyBorder="1"/>
    <xf numFmtId="0" fontId="18" fillId="0" borderId="0" xfId="178" applyFont="1" applyFill="1" applyBorder="1"/>
    <xf numFmtId="0" fontId="23" fillId="0" borderId="0" xfId="178" applyFont="1" applyBorder="1"/>
    <xf numFmtId="0" fontId="68" fillId="60" borderId="21" xfId="178" applyFont="1" applyFill="1" applyBorder="1"/>
    <xf numFmtId="3" fontId="8" fillId="0" borderId="0" xfId="55" applyNumberFormat="1" applyFont="1" applyFill="1" applyBorder="1"/>
    <xf numFmtId="0" fontId="23" fillId="0" borderId="21" xfId="178" applyFont="1" applyBorder="1"/>
    <xf numFmtId="0" fontId="8" fillId="0" borderId="0" xfId="178" applyFont="1" applyFill="1" applyBorder="1"/>
    <xf numFmtId="3" fontId="23" fillId="61" borderId="0" xfId="178" applyNumberFormat="1" applyFont="1" applyFill="1" applyBorder="1"/>
    <xf numFmtId="0" fontId="23" fillId="0" borderId="21" xfId="178" applyFont="1" applyBorder="1" applyAlignment="1"/>
    <xf numFmtId="173" fontId="8" fillId="0" borderId="0" xfId="0" applyNumberFormat="1" applyFont="1" applyFill="1" applyBorder="1"/>
    <xf numFmtId="0" fontId="14" fillId="75" borderId="0" xfId="99" applyFont="1" applyFill="1" applyBorder="1" applyAlignment="1" applyProtection="1">
      <alignment vertical="center"/>
    </xf>
    <xf numFmtId="172" fontId="8" fillId="42" borderId="53" xfId="1" applyNumberFormat="1" applyFont="1" applyFill="1" applyBorder="1"/>
    <xf numFmtId="0" fontId="8" fillId="57" borderId="33" xfId="1" applyFont="1" applyFill="1" applyBorder="1"/>
    <xf numFmtId="0" fontId="63" fillId="73" borderId="27" xfId="1" applyFont="1" applyFill="1" applyBorder="1"/>
    <xf numFmtId="10" fontId="8" fillId="73" borderId="27" xfId="0" applyNumberFormat="1" applyFont="1" applyFill="1" applyBorder="1"/>
    <xf numFmtId="0" fontId="68" fillId="75" borderId="0" xfId="0" applyFont="1" applyFill="1" applyAlignment="1">
      <alignment horizontal="center" vertical="center"/>
    </xf>
    <xf numFmtId="172" fontId="8" fillId="69" borderId="27" xfId="0" applyNumberFormat="1" applyFont="1" applyFill="1" applyBorder="1"/>
    <xf numFmtId="0" fontId="22" fillId="60" borderId="19" xfId="99" applyFont="1" applyFill="1" applyBorder="1" applyAlignment="1" applyProtection="1">
      <alignment horizontal="right" vertical="center"/>
    </xf>
    <xf numFmtId="0" fontId="8" fillId="57" borderId="0" xfId="0" applyFont="1" applyFill="1" applyBorder="1" applyAlignment="1">
      <alignment horizontal="center"/>
    </xf>
    <xf numFmtId="0" fontId="68" fillId="60" borderId="0" xfId="0" applyFont="1" applyFill="1" applyBorder="1" applyAlignment="1">
      <alignment horizontal="center" wrapText="1"/>
    </xf>
    <xf numFmtId="0" fontId="110" fillId="0" borderId="0" xfId="0" applyFont="1" applyFill="1" applyBorder="1"/>
    <xf numFmtId="0" fontId="0" fillId="61" borderId="36" xfId="0" applyFill="1" applyBorder="1"/>
    <xf numFmtId="0" fontId="110" fillId="61" borderId="0" xfId="0" applyFont="1" applyFill="1" applyBorder="1"/>
    <xf numFmtId="167" fontId="110" fillId="61" borderId="0" xfId="55" applyNumberFormat="1" applyFont="1" applyFill="1" applyBorder="1"/>
    <xf numFmtId="167" fontId="110" fillId="61" borderId="45" xfId="55" applyNumberFormat="1" applyFont="1" applyFill="1" applyBorder="1"/>
    <xf numFmtId="0" fontId="68" fillId="75" borderId="0" xfId="0" applyFont="1" applyFill="1"/>
    <xf numFmtId="173" fontId="63" fillId="0" borderId="0" xfId="0" applyNumberFormat="1" applyFont="1" applyBorder="1"/>
    <xf numFmtId="3" fontId="63" fillId="0" borderId="0" xfId="0" applyNumberFormat="1" applyFont="1" applyBorder="1"/>
    <xf numFmtId="3" fontId="8" fillId="61" borderId="0" xfId="0" applyNumberFormat="1" applyFont="1" applyFill="1" applyBorder="1"/>
    <xf numFmtId="3" fontId="8" fillId="61" borderId="0" xfId="98" applyNumberFormat="1" applyFont="1" applyFill="1" applyBorder="1" applyAlignment="1"/>
    <xf numFmtId="167" fontId="8" fillId="73" borderId="27" xfId="4" applyNumberFormat="1" applyFont="1" applyFill="1" applyBorder="1" applyProtection="1"/>
    <xf numFmtId="183" fontId="8" fillId="69" borderId="27" xfId="0" applyNumberFormat="1" applyFont="1" applyFill="1" applyBorder="1"/>
    <xf numFmtId="0" fontId="68" fillId="75" borderId="0" xfId="0" applyFont="1" applyFill="1" applyBorder="1" applyAlignment="1">
      <alignment horizontal="center"/>
    </xf>
    <xf numFmtId="0" fontId="68" fillId="60" borderId="0" xfId="0" applyFont="1" applyFill="1" applyBorder="1" applyAlignment="1">
      <alignment horizontal="right"/>
    </xf>
    <xf numFmtId="0" fontId="68" fillId="75" borderId="0" xfId="0" applyFont="1" applyFill="1" applyBorder="1" applyAlignment="1">
      <alignment horizontal="right"/>
    </xf>
    <xf numFmtId="181" fontId="8" fillId="0" borderId="0" xfId="0" applyNumberFormat="1" applyFont="1" applyFill="1" applyBorder="1"/>
    <xf numFmtId="167" fontId="8" fillId="69" borderId="27" xfId="0" applyNumberFormat="1" applyFont="1" applyFill="1" applyBorder="1"/>
    <xf numFmtId="0" fontId="18" fillId="60" borderId="0" xfId="0" applyFont="1" applyFill="1" applyBorder="1" applyAlignment="1">
      <alignment horizontal="center" vertical="center"/>
    </xf>
    <xf numFmtId="0" fontId="110" fillId="61" borderId="45" xfId="0" applyFont="1" applyFill="1" applyBorder="1"/>
    <xf numFmtId="3" fontId="8" fillId="94" borderId="27" xfId="0" applyNumberFormat="1" applyFont="1" applyFill="1" applyBorder="1"/>
    <xf numFmtId="0" fontId="8" fillId="69" borderId="37" xfId="0" applyFont="1" applyFill="1" applyBorder="1"/>
    <xf numFmtId="0" fontId="65" fillId="60" borderId="0" xfId="0" applyFont="1" applyFill="1" applyBorder="1" applyAlignment="1">
      <alignment horizontal="center" vertical="center"/>
    </xf>
    <xf numFmtId="0" fontId="8" fillId="69" borderId="31" xfId="0" applyFont="1" applyFill="1" applyBorder="1"/>
    <xf numFmtId="3" fontId="8" fillId="69" borderId="32" xfId="4" applyNumberFormat="1" applyFont="1" applyFill="1" applyBorder="1"/>
    <xf numFmtId="2" fontId="8" fillId="61" borderId="0" xfId="4" applyNumberFormat="1" applyFont="1" applyFill="1" applyBorder="1"/>
    <xf numFmtId="3" fontId="8" fillId="69" borderId="0" xfId="0" applyNumberFormat="1" applyFont="1" applyFill="1" applyBorder="1"/>
    <xf numFmtId="3" fontId="8" fillId="94" borderId="27" xfId="4" applyNumberFormat="1" applyFont="1" applyFill="1" applyBorder="1"/>
    <xf numFmtId="0" fontId="23" fillId="61" borderId="0" xfId="178" applyFont="1" applyFill="1" applyBorder="1" applyAlignment="1">
      <alignment horizontal="center"/>
    </xf>
    <xf numFmtId="10" fontId="8" fillId="61" borderId="0" xfId="4" applyNumberFormat="1" applyFont="1" applyFill="1" applyBorder="1"/>
    <xf numFmtId="0" fontId="8" fillId="61" borderId="0" xfId="411" applyFont="1" applyFill="1" applyBorder="1" applyAlignment="1">
      <alignment horizontal="left"/>
    </xf>
    <xf numFmtId="3" fontId="8" fillId="61" borderId="0" xfId="178" applyNumberFormat="1" applyFont="1" applyFill="1" applyBorder="1"/>
    <xf numFmtId="3" fontId="8" fillId="61" borderId="0" xfId="55" applyNumberFormat="1" applyFont="1" applyFill="1" applyBorder="1"/>
    <xf numFmtId="10" fontId="12" fillId="61" borderId="0" xfId="55" applyNumberFormat="1" applyFont="1" applyFill="1" applyBorder="1"/>
    <xf numFmtId="3" fontId="8" fillId="58" borderId="31" xfId="92" applyNumberFormat="1" applyFont="1" applyFill="1" applyBorder="1" applyAlignment="1" applyProtection="1">
      <alignment horizontal="left" vertical="center" indent="1"/>
      <protection locked="0"/>
    </xf>
    <xf numFmtId="3" fontId="8" fillId="58" borderId="38" xfId="92" applyNumberFormat="1" applyFont="1" applyFill="1" applyBorder="1" applyAlignment="1" applyProtection="1">
      <alignment horizontal="left" vertical="center" indent="1"/>
      <protection locked="0"/>
    </xf>
    <xf numFmtId="0" fontId="60" fillId="0" borderId="0" xfId="103" quotePrefix="1" applyNumberFormat="1" applyFont="1" applyFill="1" applyBorder="1" applyAlignment="1" applyProtection="1">
      <alignment horizontal="center" vertical="center" wrapText="1"/>
    </xf>
    <xf numFmtId="173" fontId="8" fillId="42" borderId="27" xfId="177" applyNumberFormat="1" applyFont="1" applyFill="1" applyBorder="1"/>
    <xf numFmtId="3" fontId="8" fillId="69" borderId="33" xfId="99" applyNumberFormat="1" applyFont="1" applyFill="1" applyBorder="1" applyAlignment="1" applyProtection="1">
      <alignment horizontal="right" vertical="center"/>
    </xf>
    <xf numFmtId="0" fontId="8" fillId="61" borderId="0" xfId="416" applyFont="1" applyFill="1"/>
    <xf numFmtId="3" fontId="108" fillId="61" borderId="0" xfId="172" applyNumberFormat="1" applyFont="1" applyFill="1" applyBorder="1"/>
    <xf numFmtId="173" fontId="8" fillId="69" borderId="27" xfId="51" applyNumberFormat="1" applyFont="1" applyFill="1" applyBorder="1"/>
    <xf numFmtId="3" fontId="8" fillId="58" borderId="27" xfId="92" applyNumberFormat="1" applyFont="1" applyFill="1" applyBorder="1" applyAlignment="1" applyProtection="1">
      <alignment vertical="center"/>
    </xf>
    <xf numFmtId="0" fontId="8" fillId="75" borderId="0" xfId="0" applyFont="1" applyFill="1" applyBorder="1"/>
    <xf numFmtId="0" fontId="63" fillId="76" borderId="0" xfId="0" applyFont="1" applyFill="1" applyBorder="1"/>
    <xf numFmtId="0" fontId="22" fillId="60" borderId="0" xfId="99" applyFont="1" applyFill="1" applyBorder="1" applyAlignment="1" applyProtection="1">
      <alignment vertical="center"/>
    </xf>
    <xf numFmtId="0" fontId="55" fillId="57" borderId="18" xfId="0" applyFont="1" applyFill="1" applyBorder="1" applyAlignment="1">
      <alignment horizontal="left"/>
    </xf>
    <xf numFmtId="173" fontId="54" fillId="57" borderId="19" xfId="51" applyNumberFormat="1" applyFont="1" applyFill="1" applyBorder="1"/>
    <xf numFmtId="0" fontId="54" fillId="57" borderId="19" xfId="0" applyFont="1" applyFill="1" applyBorder="1"/>
    <xf numFmtId="0" fontId="0" fillId="57" borderId="19" xfId="0" applyFill="1" applyBorder="1"/>
    <xf numFmtId="173" fontId="8" fillId="0" borderId="19" xfId="51" applyNumberFormat="1" applyFont="1" applyFill="1" applyBorder="1"/>
    <xf numFmtId="0" fontId="63" fillId="57" borderId="19" xfId="0" applyFont="1" applyFill="1" applyBorder="1"/>
    <xf numFmtId="0" fontId="0" fillId="57" borderId="19" xfId="0" applyFill="1" applyBorder="1" applyAlignment="1"/>
    <xf numFmtId="0" fontId="63" fillId="0" borderId="19" xfId="0" applyFont="1" applyFill="1" applyBorder="1" applyAlignment="1">
      <alignment horizontal="center"/>
    </xf>
    <xf numFmtId="10" fontId="12" fillId="59" borderId="54" xfId="55" applyNumberFormat="1" applyFont="1" applyFill="1" applyBorder="1"/>
    <xf numFmtId="0" fontId="63" fillId="0" borderId="24" xfId="0" applyFont="1" applyBorder="1"/>
    <xf numFmtId="0" fontId="8" fillId="0" borderId="24" xfId="0" applyFont="1" applyBorder="1" applyAlignment="1"/>
    <xf numFmtId="169" fontId="8" fillId="0" borderId="0" xfId="0" applyNumberFormat="1" applyFont="1" applyBorder="1"/>
    <xf numFmtId="3" fontId="8" fillId="69" borderId="27" xfId="0" applyNumberFormat="1" applyFont="1" applyFill="1" applyBorder="1" applyAlignment="1">
      <alignment horizontal="right"/>
    </xf>
    <xf numFmtId="10" fontId="8" fillId="69" borderId="27" xfId="0" applyNumberFormat="1" applyFont="1" applyFill="1" applyBorder="1" applyAlignment="1">
      <alignment horizontal="right"/>
    </xf>
    <xf numFmtId="3" fontId="8" fillId="42" borderId="27" xfId="175" applyNumberFormat="1" applyFont="1" applyFill="1" applyBorder="1" applyAlignment="1" applyProtection="1">
      <alignment horizontal="right" vertical="center"/>
      <protection locked="0"/>
    </xf>
    <xf numFmtId="0" fontId="108" fillId="61" borderId="0" xfId="0" applyFont="1" applyFill="1" applyBorder="1"/>
    <xf numFmtId="165" fontId="108" fillId="0" borderId="0" xfId="51" applyNumberFormat="1" applyFont="1" applyFill="1" applyBorder="1" applyAlignment="1" applyProtection="1">
      <alignment horizontal="left" vertical="center" indent="1"/>
      <protection locked="0"/>
    </xf>
    <xf numFmtId="0" fontId="68" fillId="60" borderId="0" xfId="0" applyFont="1" applyFill="1" applyBorder="1" applyAlignment="1">
      <alignment horizontal="center"/>
    </xf>
    <xf numFmtId="3" fontId="0" fillId="0" borderId="0" xfId="0" applyNumberFormat="1" applyBorder="1"/>
    <xf numFmtId="10" fontId="8" fillId="59" borderId="27" xfId="55" applyNumberFormat="1" applyFont="1" applyFill="1" applyBorder="1"/>
    <xf numFmtId="0" fontId="64" fillId="60" borderId="0" xfId="3" applyFont="1" applyFill="1" applyBorder="1"/>
    <xf numFmtId="0" fontId="8" fillId="55" borderId="33" xfId="1" applyFont="1" applyFill="1" applyBorder="1"/>
    <xf numFmtId="167" fontId="8" fillId="69" borderId="0" xfId="0" applyNumberFormat="1" applyFont="1" applyFill="1"/>
    <xf numFmtId="172" fontId="8" fillId="42" borderId="26" xfId="1" applyNumberFormat="1" applyFont="1" applyFill="1" applyBorder="1"/>
    <xf numFmtId="164" fontId="13" fillId="59" borderId="34" xfId="105" applyNumberFormat="1" applyFont="1" applyFill="1" applyBorder="1" applyAlignment="1" applyProtection="1">
      <protection locked="0"/>
    </xf>
    <xf numFmtId="0" fontId="14" fillId="59" borderId="51" xfId="101" applyFont="1" applyFill="1" applyBorder="1"/>
    <xf numFmtId="164" fontId="13" fillId="42" borderId="34" xfId="105" applyNumberFormat="1" applyFont="1" applyFill="1" applyBorder="1" applyAlignment="1" applyProtection="1">
      <protection locked="0"/>
    </xf>
    <xf numFmtId="0" fontId="14" fillId="42" borderId="51" xfId="101" applyFont="1" applyFill="1" applyBorder="1"/>
    <xf numFmtId="164" fontId="13" fillId="58" borderId="34" xfId="105" applyNumberFormat="1" applyFont="1" applyFill="1" applyBorder="1" applyAlignment="1" applyProtection="1">
      <protection locked="0"/>
    </xf>
    <xf numFmtId="0" fontId="14" fillId="58" borderId="51" xfId="101" applyFont="1" applyFill="1" applyBorder="1"/>
    <xf numFmtId="164" fontId="13" fillId="0" borderId="34" xfId="105" applyNumberFormat="1" applyFont="1" applyFill="1" applyBorder="1" applyAlignment="1" applyProtection="1">
      <protection locked="0"/>
    </xf>
    <xf numFmtId="0" fontId="14" fillId="0" borderId="51" xfId="101" applyFont="1" applyFill="1" applyBorder="1"/>
    <xf numFmtId="1" fontId="12" fillId="57" borderId="27" xfId="0" applyNumberFormat="1" applyFont="1" applyFill="1" applyBorder="1"/>
    <xf numFmtId="1" fontId="12" fillId="57" borderId="27" xfId="4" applyNumberFormat="1" applyFont="1" applyFill="1" applyBorder="1"/>
    <xf numFmtId="173" fontId="8" fillId="61" borderId="0" xfId="0" applyNumberFormat="1" applyFont="1" applyFill="1" applyBorder="1"/>
    <xf numFmtId="167" fontId="8" fillId="61" borderId="0" xfId="0" applyNumberFormat="1" applyFont="1" applyFill="1" applyBorder="1"/>
    <xf numFmtId="3" fontId="8" fillId="61" borderId="0" xfId="51" applyNumberFormat="1" applyFont="1" applyFill="1" applyBorder="1"/>
    <xf numFmtId="167" fontId="8" fillId="61" borderId="0" xfId="4" applyNumberFormat="1" applyFont="1" applyFill="1" applyBorder="1"/>
    <xf numFmtId="1" fontId="12" fillId="61" borderId="27" xfId="0" applyNumberFormat="1" applyFont="1" applyFill="1" applyBorder="1"/>
    <xf numFmtId="3" fontId="8" fillId="0" borderId="0" xfId="0" applyNumberFormat="1" applyFont="1" applyFill="1" applyBorder="1" applyAlignment="1">
      <alignment horizontal="right" vertical="top"/>
    </xf>
    <xf numFmtId="9" fontId="8" fillId="0" borderId="0" xfId="55" applyFont="1" applyFill="1" applyBorder="1"/>
    <xf numFmtId="2" fontId="8" fillId="0" borderId="0" xfId="55" applyNumberFormat="1" applyFont="1" applyFill="1" applyBorder="1"/>
    <xf numFmtId="0" fontId="8" fillId="57" borderId="0" xfId="0" applyFont="1" applyFill="1" applyBorder="1" applyAlignment="1">
      <alignment horizontal="center"/>
    </xf>
    <xf numFmtId="3" fontId="8" fillId="73" borderId="0" xfId="0" applyNumberFormat="1" applyFont="1" applyFill="1" applyBorder="1"/>
    <xf numFmtId="2" fontId="8" fillId="0" borderId="45" xfId="0" applyNumberFormat="1" applyFont="1" applyFill="1" applyBorder="1"/>
    <xf numFmtId="2" fontId="8" fillId="0" borderId="45" xfId="0" applyNumberFormat="1" applyFont="1" applyFill="1" applyBorder="1" applyAlignment="1">
      <alignment horizontal="center"/>
    </xf>
    <xf numFmtId="2" fontId="8" fillId="0" borderId="45" xfId="55" applyNumberFormat="1" applyFont="1" applyFill="1" applyBorder="1"/>
    <xf numFmtId="2" fontId="8" fillId="0" borderId="45" xfId="0" applyNumberFormat="1" applyFont="1" applyFill="1" applyBorder="1" applyAlignment="1">
      <alignment horizontal="right" vertical="top"/>
    </xf>
    <xf numFmtId="0" fontId="8" fillId="75" borderId="45" xfId="0" applyFont="1" applyFill="1" applyBorder="1"/>
    <xf numFmtId="167" fontId="110" fillId="0" borderId="0" xfId="55" applyNumberFormat="1" applyFont="1" applyFill="1" applyBorder="1"/>
    <xf numFmtId="0" fontId="8" fillId="73" borderId="0" xfId="0" applyFont="1" applyFill="1" applyBorder="1"/>
    <xf numFmtId="14" fontId="8" fillId="73" borderId="0" xfId="0" applyNumberFormat="1" applyFont="1" applyFill="1" applyBorder="1"/>
    <xf numFmtId="173" fontId="8" fillId="73" borderId="0" xfId="0" applyNumberFormat="1" applyFont="1" applyFill="1" applyBorder="1"/>
    <xf numFmtId="3" fontId="8" fillId="73" borderId="0" xfId="0" applyNumberFormat="1" applyFont="1" applyFill="1" applyBorder="1" applyAlignment="1">
      <alignment horizontal="right" vertical="top"/>
    </xf>
    <xf numFmtId="9" fontId="8" fillId="73" borderId="0" xfId="55" applyFont="1" applyFill="1" applyBorder="1"/>
    <xf numFmtId="3" fontId="8" fillId="74" borderId="0" xfId="55" applyNumberFormat="1" applyFont="1" applyFill="1" applyBorder="1"/>
    <xf numFmtId="0" fontId="68" fillId="0" borderId="0" xfId="0" applyFont="1" applyFill="1" applyBorder="1"/>
    <xf numFmtId="3" fontId="8" fillId="74" borderId="28" xfId="55" applyNumberFormat="1" applyFont="1" applyFill="1" applyBorder="1"/>
    <xf numFmtId="3" fontId="8" fillId="61" borderId="27" xfId="0" applyNumberFormat="1" applyFont="1" applyFill="1" applyBorder="1"/>
    <xf numFmtId="173" fontId="8" fillId="57" borderId="0" xfId="0" applyNumberFormat="1" applyFont="1" applyFill="1" applyBorder="1" applyAlignment="1">
      <alignment horizontal="center"/>
    </xf>
    <xf numFmtId="173" fontId="8" fillId="0" borderId="0" xfId="0" applyNumberFormat="1" applyFont="1" applyBorder="1"/>
    <xf numFmtId="0" fontId="64" fillId="0" borderId="45" xfId="102" applyFont="1" applyFill="1" applyBorder="1" applyAlignment="1">
      <alignment horizontal="right"/>
    </xf>
    <xf numFmtId="173" fontId="8" fillId="0" borderId="45" xfId="177" applyNumberFormat="1" applyFont="1" applyFill="1" applyBorder="1"/>
    <xf numFmtId="0" fontId="0" fillId="75" borderId="0" xfId="0" applyFill="1" applyBorder="1"/>
    <xf numFmtId="3" fontId="0" fillId="78" borderId="27" xfId="0" applyNumberFormat="1" applyFill="1" applyBorder="1"/>
    <xf numFmtId="0" fontId="8" fillId="61" borderId="0" xfId="99" applyFont="1" applyFill="1" applyBorder="1" applyAlignment="1" applyProtection="1">
      <alignment horizontal="right" vertical="center"/>
    </xf>
    <xf numFmtId="172" fontId="0" fillId="73" borderId="27" xfId="0" applyNumberFormat="1" applyFill="1" applyBorder="1"/>
    <xf numFmtId="0" fontId="8" fillId="73" borderId="0" xfId="0" applyFont="1" applyFill="1"/>
    <xf numFmtId="0" fontId="68" fillId="75" borderId="0" xfId="178" applyFont="1" applyFill="1" applyBorder="1" applyAlignment="1">
      <alignment horizontal="center"/>
    </xf>
    <xf numFmtId="0" fontId="68" fillId="60" borderId="55" xfId="0" applyFont="1" applyFill="1" applyBorder="1" applyAlignment="1">
      <alignment horizontal="center" wrapText="1"/>
    </xf>
    <xf numFmtId="0" fontId="68" fillId="60" borderId="56" xfId="0" applyFont="1" applyFill="1" applyBorder="1" applyAlignment="1">
      <alignment horizontal="center"/>
    </xf>
    <xf numFmtId="0" fontId="68" fillId="75" borderId="58" xfId="0" applyFont="1" applyFill="1" applyBorder="1" applyAlignment="1">
      <alignment horizontal="center"/>
    </xf>
    <xf numFmtId="0" fontId="68" fillId="75" borderId="57" xfId="0" applyFont="1" applyFill="1" applyBorder="1" applyAlignment="1">
      <alignment horizontal="center"/>
    </xf>
    <xf numFmtId="0" fontId="68" fillId="75" borderId="55" xfId="0" applyFont="1" applyFill="1" applyBorder="1" applyAlignment="1">
      <alignment horizontal="center"/>
    </xf>
    <xf numFmtId="0" fontId="68" fillId="75" borderId="59" xfId="0" applyFont="1" applyFill="1" applyBorder="1" applyAlignment="1">
      <alignment horizontal="center" vertical="center"/>
    </xf>
    <xf numFmtId="0" fontId="65" fillId="60" borderId="55" xfId="0" applyFont="1" applyFill="1" applyBorder="1" applyAlignment="1">
      <alignment horizontal="center" vertical="center"/>
    </xf>
    <xf numFmtId="0" fontId="18" fillId="60" borderId="56" xfId="0" applyFont="1" applyFill="1" applyBorder="1" applyAlignment="1">
      <alignment horizontal="center" vertical="center"/>
    </xf>
    <xf numFmtId="0" fontId="18" fillId="60" borderId="0" xfId="0" applyFont="1" applyFill="1" applyBorder="1" applyAlignment="1">
      <alignment horizontal="center"/>
    </xf>
    <xf numFmtId="3" fontId="65" fillId="0" borderId="0" xfId="0" applyNumberFormat="1" applyFont="1" applyFill="1" applyBorder="1"/>
    <xf numFmtId="0" fontId="12" fillId="75" borderId="0" xfId="0" applyFont="1" applyFill="1" applyBorder="1" applyAlignment="1"/>
    <xf numFmtId="0" fontId="18" fillId="60" borderId="57" xfId="0" applyFont="1" applyFill="1" applyBorder="1" applyAlignment="1">
      <alignment horizontal="center"/>
    </xf>
    <xf numFmtId="0" fontId="68" fillId="60" borderId="29" xfId="0" applyFont="1" applyFill="1" applyBorder="1" applyAlignment="1">
      <alignment horizontal="center"/>
    </xf>
    <xf numFmtId="0" fontId="18" fillId="60" borderId="58" xfId="0" applyFont="1" applyFill="1" applyBorder="1" applyAlignment="1">
      <alignment horizontal="center"/>
    </xf>
    <xf numFmtId="0" fontId="12" fillId="75" borderId="57" xfId="0" applyFont="1" applyFill="1" applyBorder="1" applyAlignment="1"/>
    <xf numFmtId="0" fontId="12" fillId="75" borderId="29" xfId="0" applyFont="1" applyFill="1" applyBorder="1" applyAlignment="1"/>
    <xf numFmtId="0" fontId="12" fillId="75" borderId="58" xfId="0" applyFont="1" applyFill="1" applyBorder="1" applyAlignment="1"/>
    <xf numFmtId="0" fontId="68" fillId="75" borderId="0" xfId="0" applyFont="1" applyFill="1" applyBorder="1" applyAlignment="1"/>
    <xf numFmtId="0" fontId="68" fillId="60" borderId="61" xfId="0" applyFont="1" applyFill="1" applyBorder="1" applyAlignment="1">
      <alignment horizontal="center"/>
    </xf>
    <xf numFmtId="0" fontId="68" fillId="60" borderId="60" xfId="0" applyFont="1" applyFill="1" applyBorder="1" applyAlignment="1">
      <alignment horizontal="center"/>
    </xf>
    <xf numFmtId="0" fontId="68" fillId="60" borderId="58" xfId="0" applyFont="1" applyFill="1" applyBorder="1" applyAlignment="1">
      <alignment horizontal="center" wrapText="1"/>
    </xf>
    <xf numFmtId="0" fontId="68" fillId="60" borderId="0" xfId="0" applyFont="1" applyFill="1" applyBorder="1" applyAlignment="1"/>
    <xf numFmtId="0" fontId="68" fillId="60" borderId="57" xfId="0" applyFont="1" applyFill="1" applyBorder="1" applyAlignment="1"/>
    <xf numFmtId="0" fontId="68" fillId="60" borderId="29" xfId="0" applyFont="1" applyFill="1" applyBorder="1" applyAlignment="1"/>
    <xf numFmtId="0" fontId="68" fillId="75" borderId="57" xfId="0" applyFont="1" applyFill="1" applyBorder="1" applyAlignment="1"/>
    <xf numFmtId="0" fontId="68" fillId="75" borderId="29" xfId="0" applyFont="1" applyFill="1" applyBorder="1" applyAlignment="1"/>
    <xf numFmtId="0" fontId="68" fillId="60" borderId="58" xfId="0" applyFont="1" applyFill="1" applyBorder="1" applyAlignment="1"/>
    <xf numFmtId="183" fontId="8" fillId="58" borderId="27" xfId="0" applyNumberFormat="1" applyFont="1" applyFill="1" applyBorder="1"/>
    <xf numFmtId="0" fontId="8" fillId="0" borderId="0" xfId="0" applyFont="1" applyAlignment="1">
      <alignment horizontal="center" vertical="center"/>
    </xf>
    <xf numFmtId="3" fontId="8" fillId="0" borderId="0" xfId="55" applyNumberFormat="1" applyFont="1" applyFill="1" applyBorder="1" applyAlignment="1">
      <alignment horizontal="center" vertical="center"/>
    </xf>
    <xf numFmtId="167" fontId="0" fillId="0" borderId="0" xfId="0" applyNumberFormat="1" applyFill="1" applyBorder="1"/>
    <xf numFmtId="2" fontId="8" fillId="0" borderId="0" xfId="102" applyNumberFormat="1" applyFont="1" applyFill="1" applyBorder="1"/>
    <xf numFmtId="3" fontId="0" fillId="0" borderId="0" xfId="0" applyNumberFormat="1" applyFill="1" applyBorder="1"/>
    <xf numFmtId="3" fontId="8" fillId="69" borderId="42" xfId="4" applyNumberFormat="1" applyFont="1" applyFill="1" applyBorder="1"/>
    <xf numFmtId="3" fontId="8" fillId="69" borderId="32" xfId="0" applyNumberFormat="1" applyFont="1" applyFill="1" applyBorder="1"/>
    <xf numFmtId="3" fontId="8" fillId="0" borderId="0" xfId="98" applyNumberFormat="1" applyFont="1" applyFill="1" applyBorder="1"/>
    <xf numFmtId="10" fontId="8" fillId="58" borderId="27" xfId="0" applyNumberFormat="1" applyFont="1" applyFill="1" applyBorder="1"/>
    <xf numFmtId="0" fontId="68" fillId="60" borderId="21" xfId="178" applyFont="1" applyFill="1" applyBorder="1" applyAlignment="1">
      <alignment horizontal="left" vertical="center"/>
    </xf>
    <xf numFmtId="0" fontId="68" fillId="75" borderId="0" xfId="0" applyFont="1" applyFill="1" applyBorder="1" applyAlignment="1">
      <alignment horizontal="left" vertical="center"/>
    </xf>
    <xf numFmtId="0" fontId="68" fillId="0" borderId="0" xfId="178" applyFont="1" applyFill="1" applyBorder="1"/>
    <xf numFmtId="172" fontId="8" fillId="0" borderId="0" xfId="0" applyNumberFormat="1" applyFont="1" applyFill="1" applyBorder="1"/>
    <xf numFmtId="173" fontId="110" fillId="0" borderId="0" xfId="0" applyNumberFormat="1" applyFont="1" applyFill="1" applyBorder="1"/>
    <xf numFmtId="173" fontId="111" fillId="0" borderId="0" xfId="0" applyNumberFormat="1" applyFont="1" applyFill="1" applyBorder="1"/>
    <xf numFmtId="3" fontId="111" fillId="0" borderId="0" xfId="0" applyNumberFormat="1" applyFont="1" applyFill="1" applyBorder="1"/>
    <xf numFmtId="172" fontId="111" fillId="0" borderId="0" xfId="0" applyNumberFormat="1" applyFont="1" applyFill="1" applyBorder="1"/>
    <xf numFmtId="3" fontId="8" fillId="0" borderId="0" xfId="0" applyNumberFormat="1" applyFont="1" applyFill="1"/>
    <xf numFmtId="0" fontId="8" fillId="0" borderId="0" xfId="175" quotePrefix="1" applyNumberFormat="1" applyFont="1" applyFill="1" applyBorder="1" applyAlignment="1" applyProtection="1">
      <alignment horizontal="right" vertical="center"/>
      <protection locked="0"/>
    </xf>
    <xf numFmtId="172" fontId="8" fillId="0" borderId="0" xfId="102" applyNumberFormat="1" applyFont="1" applyFill="1" applyBorder="1"/>
    <xf numFmtId="172" fontId="0" fillId="0" borderId="0" xfId="0" applyNumberFormat="1" applyFill="1" applyBorder="1"/>
    <xf numFmtId="167" fontId="0" fillId="59" borderId="27" xfId="0" applyNumberFormat="1" applyFill="1" applyBorder="1"/>
    <xf numFmtId="0" fontId="8" fillId="0" borderId="0" xfId="175" quotePrefix="1" applyNumberFormat="1" applyFont="1" applyFill="1" applyBorder="1" applyAlignment="1" applyProtection="1">
      <alignment horizontal="center" vertical="center"/>
      <protection locked="0"/>
    </xf>
    <xf numFmtId="0" fontId="8" fillId="0" borderId="0" xfId="175" quotePrefix="1" applyNumberFormat="1" applyFont="1" applyFill="1" applyBorder="1" applyAlignment="1" applyProtection="1">
      <alignment horizontal="left" vertical="center" indent="1"/>
      <protection locked="0"/>
    </xf>
    <xf numFmtId="0" fontId="8" fillId="0" borderId="0" xfId="100" applyFont="1" applyFill="1" applyBorder="1"/>
    <xf numFmtId="184" fontId="8" fillId="0" borderId="0" xfId="51" applyNumberFormat="1" applyFont="1" applyFill="1" applyBorder="1"/>
    <xf numFmtId="0" fontId="68" fillId="75" borderId="0" xfId="98" applyFont="1" applyFill="1" applyBorder="1" applyAlignment="1">
      <alignment horizontal="left" indent="1"/>
    </xf>
    <xf numFmtId="3" fontId="68" fillId="75" borderId="0" xfId="98" applyNumberFormat="1" applyFont="1" applyFill="1" applyBorder="1"/>
    <xf numFmtId="0" fontId="112" fillId="61" borderId="21" xfId="0" applyFont="1" applyFill="1" applyBorder="1"/>
    <xf numFmtId="3" fontId="112" fillId="61" borderId="0" xfId="0" applyNumberFormat="1" applyFont="1" applyFill="1" applyBorder="1"/>
    <xf numFmtId="0" fontId="112" fillId="61" borderId="0" xfId="0" applyFont="1" applyFill="1" applyBorder="1"/>
    <xf numFmtId="167" fontId="112" fillId="61" borderId="0" xfId="0" applyNumberFormat="1" applyFont="1" applyFill="1" applyBorder="1" applyAlignment="1"/>
    <xf numFmtId="0" fontId="112" fillId="61" borderId="0" xfId="0" applyFont="1" applyFill="1" applyBorder="1" applyAlignment="1"/>
    <xf numFmtId="0" fontId="68" fillId="75" borderId="21" xfId="178" applyFont="1" applyFill="1" applyBorder="1"/>
    <xf numFmtId="3" fontId="64" fillId="75" borderId="0" xfId="178" applyNumberFormat="1" applyFont="1" applyFill="1" applyBorder="1"/>
    <xf numFmtId="3" fontId="8" fillId="69" borderId="27" xfId="178" applyNumberFormat="1" applyFont="1" applyFill="1" applyBorder="1"/>
    <xf numFmtId="3" fontId="8" fillId="78" borderId="27" xfId="178" applyNumberFormat="1" applyFont="1" applyFill="1" applyBorder="1"/>
    <xf numFmtId="0" fontId="8" fillId="0" borderId="26" xfId="178" applyFont="1" applyFill="1" applyBorder="1"/>
    <xf numFmtId="0" fontId="63" fillId="61" borderId="0" xfId="178" applyFont="1" applyFill="1" applyBorder="1"/>
    <xf numFmtId="10" fontId="8" fillId="0" borderId="0" xfId="0" applyNumberFormat="1" applyFont="1" applyBorder="1"/>
    <xf numFmtId="0" fontId="22" fillId="60" borderId="0" xfId="99" applyFont="1" applyFill="1" applyBorder="1" applyAlignment="1" applyProtection="1">
      <alignment horizontal="right" vertical="center"/>
    </xf>
    <xf numFmtId="0" fontId="68" fillId="75" borderId="0" xfId="0" applyFont="1" applyFill="1" applyBorder="1" applyAlignment="1">
      <alignment horizontal="center" vertical="center" wrapText="1"/>
    </xf>
    <xf numFmtId="173" fontId="8" fillId="61" borderId="21" xfId="0" applyNumberFormat="1" applyFont="1" applyFill="1" applyBorder="1"/>
    <xf numFmtId="0" fontId="84" fillId="60" borderId="51" xfId="99" applyFont="1" applyFill="1" applyBorder="1" applyAlignment="1" applyProtection="1">
      <alignment horizontal="right" vertical="center"/>
    </xf>
    <xf numFmtId="0" fontId="68" fillId="60" borderId="21" xfId="0" applyFont="1" applyFill="1" applyBorder="1" applyAlignment="1">
      <alignment horizontal="center" vertical="center" wrapText="1"/>
    </xf>
    <xf numFmtId="0" fontId="87" fillId="60" borderId="20" xfId="99" applyFont="1" applyFill="1" applyBorder="1" applyAlignment="1" applyProtection="1">
      <alignment horizontal="right" vertical="center"/>
    </xf>
    <xf numFmtId="0" fontId="8" fillId="0" borderId="21" xfId="0" applyFont="1" applyBorder="1" applyAlignment="1">
      <alignment horizontal="center" wrapText="1"/>
    </xf>
    <xf numFmtId="0" fontId="8" fillId="0" borderId="0" xfId="0" applyFont="1" applyBorder="1" applyAlignment="1">
      <alignment horizontal="center" wrapText="1"/>
    </xf>
    <xf numFmtId="0" fontId="8" fillId="0" borderId="21" xfId="0" applyFont="1" applyFill="1" applyBorder="1" applyAlignment="1">
      <alignment horizontal="left" wrapText="1"/>
    </xf>
    <xf numFmtId="0" fontId="12" fillId="61" borderId="21" xfId="0" applyFont="1" applyFill="1" applyBorder="1" applyAlignment="1">
      <alignment horizontal="left" wrapText="1"/>
    </xf>
    <xf numFmtId="10" fontId="12" fillId="61" borderId="0" xfId="0" applyNumberFormat="1" applyFont="1" applyFill="1" applyBorder="1" applyAlignment="1">
      <alignment wrapText="1"/>
    </xf>
    <xf numFmtId="0" fontId="12" fillId="61" borderId="0" xfId="0" applyFont="1" applyFill="1" applyBorder="1" applyAlignment="1">
      <alignment wrapText="1"/>
    </xf>
    <xf numFmtId="3" fontId="8" fillId="78" borderId="27" xfId="92" applyNumberFormat="1" applyFont="1" applyFill="1" applyBorder="1" applyAlignment="1" applyProtection="1">
      <alignment vertical="center"/>
    </xf>
    <xf numFmtId="10" fontId="8" fillId="61" borderId="27" xfId="0" applyNumberFormat="1" applyFont="1" applyFill="1" applyBorder="1"/>
    <xf numFmtId="2" fontId="8" fillId="61" borderId="27" xfId="1" applyNumberFormat="1" applyFont="1" applyFill="1" applyBorder="1" applyProtection="1"/>
    <xf numFmtId="0" fontId="8" fillId="0" borderId="22" xfId="0" applyFont="1" applyBorder="1" applyAlignment="1">
      <alignment horizontal="center" wrapText="1"/>
    </xf>
    <xf numFmtId="0" fontId="12" fillId="61" borderId="22" xfId="0" applyFont="1" applyFill="1" applyBorder="1" applyAlignment="1">
      <alignment wrapText="1"/>
    </xf>
    <xf numFmtId="0" fontId="64" fillId="61" borderId="22" xfId="0" applyFont="1" applyFill="1" applyBorder="1"/>
    <xf numFmtId="177" fontId="8" fillId="59" borderId="62" xfId="0" applyNumberFormat="1" applyFont="1" applyFill="1" applyBorder="1"/>
    <xf numFmtId="177" fontId="8" fillId="61" borderId="22" xfId="0" applyNumberFormat="1" applyFont="1" applyFill="1" applyBorder="1"/>
    <xf numFmtId="182" fontId="8" fillId="74" borderId="62" xfId="0" applyNumberFormat="1" applyFont="1" applyFill="1" applyBorder="1"/>
    <xf numFmtId="0" fontId="8" fillId="61" borderId="25" xfId="0" applyFont="1" applyFill="1" applyBorder="1"/>
    <xf numFmtId="177" fontId="8" fillId="0" borderId="22" xfId="0" applyNumberFormat="1" applyFont="1" applyFill="1" applyBorder="1"/>
    <xf numFmtId="173" fontId="8" fillId="73" borderId="32" xfId="51" applyNumberFormat="1" applyFont="1" applyFill="1" applyBorder="1"/>
    <xf numFmtId="177" fontId="8" fillId="59" borderId="52" xfId="0" applyNumberFormat="1" applyFont="1" applyFill="1" applyBorder="1"/>
    <xf numFmtId="0" fontId="68" fillId="75" borderId="0" xfId="103" applyNumberFormat="1" applyFont="1" applyFill="1" applyBorder="1" applyAlignment="1" applyProtection="1">
      <alignment horizontal="center" vertical="center" wrapText="1"/>
    </xf>
    <xf numFmtId="0" fontId="68" fillId="75" borderId="22" xfId="0" applyFont="1" applyFill="1" applyBorder="1" applyAlignment="1">
      <alignment horizontal="center" vertical="center" wrapText="1"/>
    </xf>
    <xf numFmtId="10" fontId="8" fillId="69" borderId="27" xfId="55" applyNumberFormat="1" applyFont="1" applyFill="1" applyBorder="1"/>
    <xf numFmtId="167" fontId="8" fillId="69" borderId="28" xfId="1" applyNumberFormat="1" applyFont="1" applyFill="1" applyBorder="1" applyProtection="1"/>
    <xf numFmtId="167" fontId="8" fillId="69" borderId="27" xfId="1" applyNumberFormat="1" applyFont="1" applyFill="1" applyBorder="1" applyProtection="1"/>
    <xf numFmtId="0" fontId="8" fillId="61" borderId="24" xfId="1" applyFont="1" applyFill="1" applyBorder="1"/>
    <xf numFmtId="172" fontId="8" fillId="69" borderId="26" xfId="1" applyNumberFormat="1" applyFont="1" applyFill="1" applyBorder="1"/>
    <xf numFmtId="0" fontId="8" fillId="0" borderId="27" xfId="0" applyFont="1" applyBorder="1"/>
    <xf numFmtId="0" fontId="8" fillId="0" borderId="27" xfId="175" quotePrefix="1" applyNumberFormat="1" applyFont="1" applyFill="1" applyBorder="1" applyAlignment="1" applyProtection="1">
      <alignment horizontal="center" vertical="center"/>
      <protection locked="0"/>
    </xf>
    <xf numFmtId="0" fontId="8" fillId="0" borderId="27" xfId="99" applyFont="1" applyFill="1" applyBorder="1" applyAlignment="1" applyProtection="1">
      <alignment horizontal="right" vertical="center"/>
    </xf>
    <xf numFmtId="0" fontId="8" fillId="0" borderId="33" xfId="175" quotePrefix="1" applyNumberFormat="1" applyFont="1" applyFill="1" applyBorder="1" applyAlignment="1" applyProtection="1">
      <alignment horizontal="center" vertical="center"/>
      <protection locked="0"/>
    </xf>
    <xf numFmtId="0" fontId="8" fillId="0" borderId="31" xfId="175" quotePrefix="1" applyNumberFormat="1" applyFont="1" applyFill="1" applyBorder="1" applyAlignment="1" applyProtection="1">
      <alignment horizontal="left" vertical="center" indent="1"/>
      <protection locked="0"/>
    </xf>
    <xf numFmtId="0" fontId="8" fillId="0" borderId="28" xfId="175" quotePrefix="1" applyNumberFormat="1" applyFont="1" applyFill="1" applyBorder="1" applyAlignment="1" applyProtection="1">
      <alignment horizontal="center" vertical="center"/>
      <protection locked="0"/>
    </xf>
    <xf numFmtId="0" fontId="8" fillId="0" borderId="40" xfId="175" quotePrefix="1" applyNumberFormat="1" applyFont="1" applyFill="1" applyBorder="1" applyAlignment="1" applyProtection="1">
      <alignment horizontal="left" vertical="center" indent="1"/>
      <protection locked="0"/>
    </xf>
    <xf numFmtId="0" fontId="8" fillId="0" borderId="27" xfId="172" applyFont="1" applyFill="1" applyBorder="1" applyAlignment="1">
      <alignment horizontal="center"/>
    </xf>
    <xf numFmtId="0" fontId="17" fillId="60" borderId="0" xfId="99" applyFont="1" applyFill="1" applyBorder="1" applyAlignment="1" applyProtection="1">
      <alignment horizontal="left" vertical="center"/>
    </xf>
    <xf numFmtId="0" fontId="22" fillId="60" borderId="0" xfId="99" applyFont="1" applyFill="1" applyBorder="1" applyAlignment="1" applyProtection="1">
      <alignment horizontal="right" vertical="center"/>
    </xf>
    <xf numFmtId="0" fontId="22" fillId="60" borderId="19" xfId="99" applyFont="1" applyFill="1" applyBorder="1" applyAlignment="1" applyProtection="1">
      <alignment horizontal="right" vertical="center"/>
    </xf>
    <xf numFmtId="164" fontId="8" fillId="0" borderId="27" xfId="545" applyNumberFormat="1" applyFont="1" applyFill="1" applyBorder="1" applyAlignment="1" applyProtection="1">
      <alignment horizontal="center"/>
    </xf>
    <xf numFmtId="3" fontId="23" fillId="78" borderId="27" xfId="98" applyNumberFormat="1" applyFont="1" applyFill="1" applyBorder="1"/>
    <xf numFmtId="10" fontId="57" fillId="61" borderId="0" xfId="55" applyNumberFormat="1" applyFont="1" applyFill="1" applyBorder="1"/>
    <xf numFmtId="0" fontId="63" fillId="0" borderId="21" xfId="0" applyFont="1" applyBorder="1"/>
    <xf numFmtId="10" fontId="57" fillId="61" borderId="45" xfId="55" applyNumberFormat="1" applyFont="1" applyFill="1" applyBorder="1"/>
    <xf numFmtId="3" fontId="57" fillId="61" borderId="0" xfId="55" applyNumberFormat="1" applyFont="1" applyFill="1" applyBorder="1"/>
    <xf numFmtId="3" fontId="18" fillId="60" borderId="0" xfId="0" applyNumberFormat="1" applyFont="1" applyFill="1" applyBorder="1"/>
    <xf numFmtId="0" fontId="11" fillId="73" borderId="27" xfId="0" applyFont="1" applyFill="1" applyBorder="1"/>
    <xf numFmtId="0" fontId="0" fillId="73" borderId="27" xfId="0" applyFill="1" applyBorder="1"/>
    <xf numFmtId="3" fontId="0" fillId="73" borderId="27" xfId="0" applyNumberFormat="1" applyFill="1" applyBorder="1"/>
    <xf numFmtId="3" fontId="11" fillId="78" borderId="27" xfId="0" applyNumberFormat="1" applyFont="1" applyFill="1" applyBorder="1"/>
    <xf numFmtId="3" fontId="11" fillId="69" borderId="27" xfId="0" applyNumberFormat="1" applyFont="1" applyFill="1" applyBorder="1"/>
    <xf numFmtId="3" fontId="11" fillId="73" borderId="27" xfId="99" applyNumberFormat="1" applyFont="1" applyFill="1" applyBorder="1" applyAlignment="1" applyProtection="1">
      <alignment vertical="center"/>
    </xf>
    <xf numFmtId="3" fontId="23" fillId="73" borderId="27" xfId="98" applyNumberFormat="1" applyFont="1" applyFill="1" applyBorder="1"/>
    <xf numFmtId="10" fontId="57" fillId="73" borderId="27" xfId="55" applyNumberFormat="1" applyFont="1" applyFill="1" applyBorder="1"/>
    <xf numFmtId="3" fontId="11" fillId="73" borderId="27" xfId="0" applyNumberFormat="1" applyFont="1" applyFill="1" applyBorder="1"/>
    <xf numFmtId="3" fontId="57" fillId="73" borderId="27" xfId="55" applyNumberFormat="1" applyFont="1" applyFill="1" applyBorder="1"/>
    <xf numFmtId="3" fontId="8" fillId="0" borderId="27" xfId="108" applyNumberFormat="1" applyFont="1" applyFill="1" applyBorder="1" applyAlignment="1" applyProtection="1">
      <alignment horizontal="right"/>
    </xf>
    <xf numFmtId="172" fontId="0" fillId="78" borderId="27" xfId="0" applyNumberFormat="1" applyFill="1" applyBorder="1"/>
    <xf numFmtId="3" fontId="23" fillId="69" borderId="27" xfId="55" applyNumberFormat="1" applyFont="1" applyFill="1" applyBorder="1"/>
    <xf numFmtId="172" fontId="23" fillId="78" borderId="27" xfId="55" applyNumberFormat="1" applyFont="1" applyFill="1" applyBorder="1"/>
    <xf numFmtId="0" fontId="102" fillId="0" borderId="0" xfId="0" applyFont="1"/>
    <xf numFmtId="9" fontId="8" fillId="0" borderId="0" xfId="0" applyNumberFormat="1" applyFont="1" applyBorder="1"/>
    <xf numFmtId="10" fontId="60" fillId="78" borderId="63" xfId="103" applyNumberFormat="1" applyFont="1" applyFill="1" applyBorder="1" applyAlignment="1" applyProtection="1">
      <alignment horizontal="center" vertical="center" wrapText="1"/>
    </xf>
    <xf numFmtId="0" fontId="66" fillId="60" borderId="0" xfId="103" applyNumberFormat="1" applyFont="1" applyFill="1" applyBorder="1" applyAlignment="1" applyProtection="1">
      <alignment horizontal="center" vertical="center" wrapText="1"/>
    </xf>
    <xf numFmtId="3" fontId="23" fillId="69" borderId="33" xfId="55" applyNumberFormat="1" applyFont="1" applyFill="1" applyBorder="1"/>
    <xf numFmtId="0" fontId="68" fillId="75" borderId="0" xfId="98" applyFont="1" applyFill="1" applyBorder="1" applyAlignment="1">
      <alignment horizontal="center" vertical="center"/>
    </xf>
    <xf numFmtId="0" fontId="68" fillId="75" borderId="0" xfId="0" applyFont="1" applyFill="1" applyAlignment="1">
      <alignment horizontal="center" vertical="center" wrapText="1"/>
    </xf>
    <xf numFmtId="0" fontId="8" fillId="0" borderId="26" xfId="178" applyFont="1" applyFill="1" applyBorder="1" applyAlignment="1">
      <alignment horizontal="left" indent="1"/>
    </xf>
    <xf numFmtId="0" fontId="8" fillId="0" borderId="31" xfId="178" applyFont="1" applyFill="1" applyBorder="1" applyAlignment="1">
      <alignment horizontal="left" indent="1"/>
    </xf>
    <xf numFmtId="173" fontId="8" fillId="0" borderId="27" xfId="51" applyNumberFormat="1" applyFont="1" applyFill="1" applyBorder="1" applyAlignment="1">
      <alignment horizontal="right" indent="1"/>
    </xf>
    <xf numFmtId="14" fontId="8" fillId="0" borderId="27" xfId="178" applyNumberFormat="1" applyFont="1" applyFill="1" applyBorder="1" applyAlignment="1">
      <alignment horizontal="right" indent="1"/>
    </xf>
    <xf numFmtId="1" fontId="8" fillId="0" borderId="27" xfId="178" applyNumberFormat="1" applyFont="1" applyFill="1" applyBorder="1" applyAlignment="1">
      <alignment horizontal="right" indent="1"/>
    </xf>
    <xf numFmtId="0" fontId="8" fillId="0" borderId="31" xfId="178" applyFont="1" applyFill="1" applyBorder="1" applyAlignment="1">
      <alignment horizontal="right" indent="1"/>
    </xf>
    <xf numFmtId="0" fontId="8" fillId="0" borderId="41" xfId="178" applyFont="1" applyFill="1" applyBorder="1" applyAlignment="1">
      <alignment horizontal="left" indent="1"/>
    </xf>
    <xf numFmtId="0" fontId="8" fillId="0" borderId="27" xfId="178" applyFont="1" applyFill="1" applyBorder="1" applyAlignment="1">
      <alignment horizontal="left" indent="1"/>
    </xf>
    <xf numFmtId="14" fontId="8" fillId="0" borderId="31" xfId="178" applyNumberFormat="1" applyFont="1" applyFill="1" applyBorder="1" applyAlignment="1">
      <alignment horizontal="right" indent="1"/>
    </xf>
    <xf numFmtId="1" fontId="8" fillId="0" borderId="31" xfId="178" applyNumberFormat="1" applyFont="1" applyFill="1" applyBorder="1" applyAlignment="1">
      <alignment horizontal="right" indent="1"/>
    </xf>
    <xf numFmtId="0" fontId="8" fillId="0" borderId="21" xfId="178" applyFont="1" applyFill="1" applyBorder="1" applyAlignment="1">
      <alignment horizontal="left" indent="1"/>
    </xf>
    <xf numFmtId="0" fontId="8" fillId="0" borderId="0" xfId="178" applyFont="1" applyFill="1" applyBorder="1" applyAlignment="1">
      <alignment horizontal="left" indent="1"/>
    </xf>
    <xf numFmtId="173" fontId="8" fillId="0" borderId="0" xfId="51" applyNumberFormat="1" applyFont="1" applyFill="1" applyBorder="1" applyAlignment="1">
      <alignment horizontal="right" indent="1"/>
    </xf>
    <xf numFmtId="14" fontId="8" fillId="0" borderId="0" xfId="178" applyNumberFormat="1" applyFont="1" applyFill="1" applyBorder="1" applyAlignment="1">
      <alignment horizontal="right" indent="1"/>
    </xf>
    <xf numFmtId="1" fontId="8" fillId="0" borderId="0" xfId="178" applyNumberFormat="1" applyFont="1" applyFill="1" applyBorder="1" applyAlignment="1">
      <alignment horizontal="right" indent="1"/>
    </xf>
    <xf numFmtId="0" fontId="8" fillId="0" borderId="0" xfId="178" applyFont="1" applyFill="1" applyBorder="1" applyAlignment="1">
      <alignment horizontal="right" indent="1"/>
    </xf>
    <xf numFmtId="0" fontId="8" fillId="0" borderId="53" xfId="178" applyFont="1" applyFill="1" applyBorder="1" applyAlignment="1">
      <alignment horizontal="left" indent="1"/>
    </xf>
    <xf numFmtId="173" fontId="8" fillId="0" borderId="33" xfId="51" applyNumberFormat="1" applyFont="1" applyFill="1" applyBorder="1" applyAlignment="1">
      <alignment horizontal="right" indent="1"/>
    </xf>
    <xf numFmtId="14" fontId="8" fillId="0" borderId="33" xfId="178" applyNumberFormat="1" applyFont="1" applyFill="1" applyBorder="1" applyAlignment="1">
      <alignment horizontal="right" indent="1"/>
    </xf>
    <xf numFmtId="1" fontId="8" fillId="0" borderId="53" xfId="178" applyNumberFormat="1" applyFont="1" applyFill="1" applyBorder="1" applyAlignment="1">
      <alignment horizontal="right" indent="1"/>
    </xf>
    <xf numFmtId="0" fontId="8" fillId="0" borderId="33" xfId="0" applyFont="1" applyFill="1" applyBorder="1"/>
    <xf numFmtId="0" fontId="8" fillId="0" borderId="53" xfId="178" applyFont="1" applyFill="1" applyBorder="1" applyAlignment="1">
      <alignment horizontal="right" indent="1"/>
    </xf>
    <xf numFmtId="0" fontId="68" fillId="75" borderId="58" xfId="0" applyFont="1" applyFill="1" applyBorder="1" applyAlignment="1">
      <alignment horizontal="center" wrapText="1"/>
    </xf>
    <xf numFmtId="3" fontId="8" fillId="78" borderId="32" xfId="4" applyNumberFormat="1" applyFont="1" applyFill="1" applyBorder="1"/>
    <xf numFmtId="3" fontId="8" fillId="95" borderId="27" xfId="4" applyNumberFormat="1" applyFont="1" applyFill="1" applyBorder="1"/>
    <xf numFmtId="3" fontId="23" fillId="78" borderId="27" xfId="98" applyNumberFormat="1" applyFont="1" applyFill="1" applyBorder="1" applyAlignment="1"/>
    <xf numFmtId="3" fontId="8" fillId="78" borderId="27" xfId="0" applyNumberFormat="1" applyFont="1" applyFill="1" applyBorder="1" applyAlignment="1"/>
    <xf numFmtId="10" fontId="23" fillId="69" borderId="27" xfId="98" applyNumberFormat="1" applyFont="1" applyFill="1" applyBorder="1" applyAlignment="1"/>
    <xf numFmtId="10" fontId="23" fillId="0" borderId="27" xfId="98" applyNumberFormat="1" applyFont="1" applyFill="1" applyBorder="1" applyAlignment="1"/>
    <xf numFmtId="10" fontId="8" fillId="69" borderId="27" xfId="0" applyNumberFormat="1" applyFont="1" applyFill="1" applyBorder="1" applyAlignment="1"/>
    <xf numFmtId="9" fontId="23" fillId="0" borderId="27" xfId="98" applyNumberFormat="1" applyFont="1" applyFill="1" applyBorder="1" applyAlignment="1"/>
    <xf numFmtId="3" fontId="23" fillId="69" borderId="27" xfId="98" applyNumberFormat="1" applyFont="1" applyFill="1" applyBorder="1" applyAlignment="1"/>
    <xf numFmtId="167" fontId="8" fillId="0" borderId="0" xfId="0" applyNumberFormat="1" applyFont="1" applyFill="1" applyBorder="1"/>
    <xf numFmtId="43" fontId="8" fillId="0" borderId="0" xfId="51" applyNumberFormat="1" applyFont="1" applyFill="1" applyBorder="1"/>
    <xf numFmtId="3" fontId="8" fillId="0" borderId="0" xfId="51" applyNumberFormat="1" applyFont="1" applyFill="1" applyBorder="1"/>
    <xf numFmtId="0" fontId="91" fillId="0" borderId="0" xfId="0" applyFont="1" applyFill="1" applyBorder="1"/>
    <xf numFmtId="0" fontId="8" fillId="0" borderId="38" xfId="0" applyFont="1" applyFill="1" applyBorder="1"/>
    <xf numFmtId="0" fontId="8" fillId="0" borderId="31" xfId="0" applyFont="1" applyFill="1" applyBorder="1"/>
    <xf numFmtId="3" fontId="8" fillId="0" borderId="31" xfId="172" applyNumberFormat="1" applyFont="1" applyFill="1" applyBorder="1"/>
    <xf numFmtId="0" fontId="8" fillId="0" borderId="64" xfId="0" applyFont="1" applyFill="1" applyBorder="1"/>
    <xf numFmtId="3" fontId="23" fillId="61" borderId="0" xfId="98" applyNumberFormat="1" applyFont="1" applyFill="1" applyBorder="1"/>
    <xf numFmtId="0" fontId="68" fillId="60" borderId="21" xfId="98" applyFont="1" applyFill="1" applyBorder="1" applyAlignment="1">
      <alignment horizontal="center" vertical="center"/>
    </xf>
    <xf numFmtId="3" fontId="108" fillId="73" borderId="28" xfId="98" applyNumberFormat="1" applyFont="1" applyFill="1" applyBorder="1"/>
    <xf numFmtId="3" fontId="8" fillId="69" borderId="28" xfId="0" applyNumberFormat="1" applyFont="1" applyFill="1" applyBorder="1"/>
    <xf numFmtId="10" fontId="8" fillId="0" borderId="0" xfId="92" applyNumberFormat="1" applyFont="1" applyFill="1" applyBorder="1" applyAlignment="1" applyProtection="1">
      <alignment horizontal="right" indent="1"/>
      <protection locked="0"/>
    </xf>
    <xf numFmtId="10" fontId="8" fillId="0" borderId="45" xfId="92" applyNumberFormat="1" applyFont="1" applyFill="1" applyBorder="1" applyAlignment="1" applyProtection="1">
      <alignment horizontal="right" indent="1"/>
      <protection locked="0"/>
    </xf>
    <xf numFmtId="0" fontId="68" fillId="75" borderId="21" xfId="98" applyFont="1" applyFill="1" applyBorder="1"/>
    <xf numFmtId="0" fontId="86" fillId="60" borderId="18" xfId="99" applyFont="1" applyFill="1" applyBorder="1" applyAlignment="1" applyProtection="1">
      <alignment vertical="center"/>
    </xf>
    <xf numFmtId="0" fontId="86" fillId="60" borderId="19" xfId="99" applyFont="1" applyFill="1" applyBorder="1" applyAlignment="1" applyProtection="1">
      <alignment horizontal="left" vertical="center"/>
    </xf>
    <xf numFmtId="0" fontId="63" fillId="73" borderId="27" xfId="0" applyFont="1" applyFill="1" applyBorder="1"/>
    <xf numFmtId="0" fontId="63" fillId="73" borderId="27" xfId="92" quotePrefix="1" applyNumberFormat="1" applyFont="1" applyFill="1" applyBorder="1" applyAlignment="1" applyProtection="1">
      <alignment horizontal="left" vertical="center" indent="1"/>
      <protection locked="0"/>
    </xf>
    <xf numFmtId="3" fontId="8" fillId="0" borderId="27" xfId="0" applyNumberFormat="1" applyFont="1" applyBorder="1"/>
    <xf numFmtId="181" fontId="11" fillId="42" borderId="28" xfId="92" applyNumberFormat="1" applyFont="1" applyFill="1" applyBorder="1" applyAlignment="1" applyProtection="1">
      <alignment horizontal="right" vertical="center" indent="1"/>
      <protection locked="0"/>
    </xf>
    <xf numFmtId="181" fontId="11" fillId="42" borderId="28" xfId="92" quotePrefix="1" applyNumberFormat="1" applyFont="1" applyFill="1" applyBorder="1" applyAlignment="1" applyProtection="1">
      <alignment vertical="center"/>
      <protection locked="0"/>
    </xf>
    <xf numFmtId="181" fontId="8" fillId="42" borderId="28" xfId="92" quotePrefix="1" applyNumberFormat="1" applyFont="1" applyFill="1" applyBorder="1" applyAlignment="1" applyProtection="1">
      <alignment horizontal="left" vertical="center" indent="1"/>
      <protection locked="0"/>
    </xf>
    <xf numFmtId="181" fontId="8" fillId="59" borderId="28" xfId="0" applyNumberFormat="1" applyFont="1" applyFill="1" applyBorder="1"/>
    <xf numFmtId="181" fontId="8" fillId="59" borderId="27" xfId="0" applyNumberFormat="1" applyFont="1" applyFill="1" applyBorder="1"/>
    <xf numFmtId="181" fontId="8" fillId="42" borderId="38" xfId="92" applyNumberFormat="1" applyFont="1" applyFill="1" applyBorder="1" applyAlignment="1" applyProtection="1">
      <alignment horizontal="left" vertical="center" indent="1"/>
      <protection locked="0"/>
    </xf>
    <xf numFmtId="181" fontId="0" fillId="0" borderId="0" xfId="0" applyNumberFormat="1"/>
    <xf numFmtId="181" fontId="11" fillId="42" borderId="28" xfId="92" quotePrefix="1" applyNumberFormat="1" applyFont="1" applyFill="1" applyBorder="1" applyAlignment="1" applyProtection="1">
      <alignment horizontal="left" vertical="center" indent="1"/>
      <protection locked="0"/>
    </xf>
    <xf numFmtId="172" fontId="8" fillId="0" borderId="27" xfId="99" applyNumberFormat="1" applyFont="1" applyFill="1" applyBorder="1" applyAlignment="1" applyProtection="1">
      <alignment horizontal="right" vertical="center"/>
    </xf>
    <xf numFmtId="3" fontId="23" fillId="78" borderId="27" xfId="55" applyNumberFormat="1" applyFont="1" applyFill="1" applyBorder="1"/>
    <xf numFmtId="0" fontId="17" fillId="60" borderId="0" xfId="99" applyFont="1" applyFill="1" applyBorder="1" applyAlignment="1" applyProtection="1">
      <alignment horizontal="left" vertical="center"/>
    </xf>
    <xf numFmtId="3" fontId="0" fillId="69" borderId="27" xfId="0" applyNumberFormat="1" applyFill="1" applyBorder="1"/>
    <xf numFmtId="3" fontId="12" fillId="74" borderId="27" xfId="0" applyNumberFormat="1" applyFont="1" applyFill="1" applyBorder="1"/>
    <xf numFmtId="0" fontId="8" fillId="0" borderId="0" xfId="0" applyFont="1" applyAlignment="1"/>
    <xf numFmtId="0" fontId="8" fillId="0" borderId="21" xfId="0" applyFont="1" applyFill="1" applyBorder="1" applyAlignment="1"/>
    <xf numFmtId="0" fontId="8" fillId="0" borderId="21" xfId="0" applyFont="1" applyBorder="1" applyAlignment="1">
      <alignment wrapText="1"/>
    </xf>
    <xf numFmtId="2" fontId="8" fillId="0" borderId="0" xfId="0" applyNumberFormat="1" applyFont="1" applyFill="1" applyBorder="1"/>
    <xf numFmtId="2" fontId="8" fillId="0" borderId="0" xfId="0" applyNumberFormat="1" applyFont="1" applyFill="1" applyBorder="1" applyAlignment="1">
      <alignment horizontal="center"/>
    </xf>
    <xf numFmtId="2" fontId="8" fillId="0" borderId="0" xfId="0" applyNumberFormat="1" applyFont="1" applyFill="1" applyBorder="1" applyAlignment="1">
      <alignment horizontal="right" vertical="top"/>
    </xf>
    <xf numFmtId="2" fontId="8" fillId="0" borderId="0" xfId="55" applyNumberFormat="1" applyFont="1" applyFill="1" applyBorder="1" applyAlignment="1">
      <alignment horizontal="center" vertical="center"/>
    </xf>
    <xf numFmtId="172" fontId="8" fillId="0" borderId="0" xfId="55" applyNumberFormat="1" applyFont="1" applyFill="1" applyBorder="1"/>
    <xf numFmtId="0" fontId="12" fillId="0" borderId="0" xfId="0" applyFont="1" applyFill="1"/>
    <xf numFmtId="0" fontId="8" fillId="78" borderId="27" xfId="0" applyFont="1" applyFill="1" applyBorder="1" applyAlignment="1">
      <alignment horizontal="center"/>
    </xf>
    <xf numFmtId="0" fontId="8" fillId="78" borderId="27" xfId="175" quotePrefix="1" applyNumberFormat="1" applyFont="1" applyFill="1" applyBorder="1" applyAlignment="1" applyProtection="1">
      <alignment horizontal="left" vertical="center"/>
      <protection locked="0"/>
    </xf>
    <xf numFmtId="0" fontId="8" fillId="78" borderId="27" xfId="175" quotePrefix="1" applyNumberFormat="1" applyFont="1" applyFill="1" applyBorder="1" applyAlignment="1" applyProtection="1">
      <alignment horizontal="center" vertical="center"/>
      <protection locked="0"/>
    </xf>
    <xf numFmtId="0" fontId="114" fillId="75" borderId="0" xfId="0" applyFont="1" applyFill="1" applyBorder="1" applyAlignment="1">
      <alignment horizontal="center" vertical="center"/>
    </xf>
    <xf numFmtId="0" fontId="115" fillId="60" borderId="0" xfId="103" applyNumberFormat="1" applyFont="1" applyFill="1" applyBorder="1" applyAlignment="1" applyProtection="1">
      <alignment horizontal="center" vertical="center" wrapText="1"/>
    </xf>
    <xf numFmtId="0" fontId="113" fillId="75" borderId="0" xfId="0" applyFont="1" applyFill="1" applyBorder="1"/>
    <xf numFmtId="0" fontId="114" fillId="0" borderId="0" xfId="0" applyFont="1" applyFill="1" applyBorder="1" applyAlignment="1">
      <alignment horizontal="center" vertical="center"/>
    </xf>
    <xf numFmtId="0" fontId="115" fillId="0" borderId="0" xfId="103" applyNumberFormat="1" applyFont="1" applyFill="1" applyBorder="1" applyAlignment="1" applyProtection="1">
      <alignment horizontal="center" vertical="center" wrapText="1"/>
    </xf>
    <xf numFmtId="0" fontId="114" fillId="0" borderId="0" xfId="0" applyFont="1" applyFill="1" applyAlignment="1">
      <alignment horizontal="center" vertical="center" wrapText="1"/>
    </xf>
    <xf numFmtId="3" fontId="12" fillId="74" borderId="28" xfId="0" applyNumberFormat="1" applyFont="1" applyFill="1" applyBorder="1"/>
    <xf numFmtId="10" fontId="57" fillId="74" borderId="27" xfId="55" applyNumberFormat="1" applyFont="1" applyFill="1" applyBorder="1"/>
    <xf numFmtId="0" fontId="17" fillId="0" borderId="0" xfId="99" applyFont="1" applyFill="1" applyBorder="1" applyAlignment="1" applyProtection="1">
      <alignment horizontal="left" vertical="center"/>
    </xf>
    <xf numFmtId="0" fontId="8" fillId="78" borderId="28" xfId="175" quotePrefix="1" applyNumberFormat="1" applyFont="1" applyFill="1" applyBorder="1" applyAlignment="1" applyProtection="1">
      <alignment horizontal="center" vertical="center"/>
      <protection locked="0"/>
    </xf>
    <xf numFmtId="0" fontId="8" fillId="78" borderId="28" xfId="175" quotePrefix="1" applyNumberFormat="1" applyFont="1" applyFill="1" applyBorder="1" applyAlignment="1" applyProtection="1">
      <alignment horizontal="left" vertical="center"/>
      <protection locked="0"/>
    </xf>
    <xf numFmtId="3" fontId="0" fillId="69" borderId="28" xfId="0" applyNumberFormat="1" applyFill="1" applyBorder="1"/>
    <xf numFmtId="172" fontId="8" fillId="69" borderId="28" xfId="0" applyNumberFormat="1" applyFont="1" applyFill="1" applyBorder="1"/>
    <xf numFmtId="172" fontId="8" fillId="74" borderId="28" xfId="0" applyNumberFormat="1" applyFont="1" applyFill="1" applyBorder="1"/>
    <xf numFmtId="0" fontId="8" fillId="57" borderId="27" xfId="102" applyFont="1" applyFill="1" applyBorder="1"/>
    <xf numFmtId="0" fontId="8" fillId="0" borderId="0" xfId="1" applyFont="1" applyFill="1" applyAlignment="1">
      <alignment horizontal="right"/>
    </xf>
    <xf numFmtId="185" fontId="11" fillId="0" borderId="45" xfId="92" quotePrefix="1" applyNumberFormat="1" applyFont="1" applyFill="1" applyBorder="1" applyAlignment="1" applyProtection="1">
      <alignment vertical="center"/>
      <protection locked="0"/>
    </xf>
    <xf numFmtId="3" fontId="11" fillId="42" borderId="63" xfId="92" applyNumberFormat="1" applyFont="1" applyFill="1" applyBorder="1" applyAlignment="1" applyProtection="1">
      <alignment horizontal="left" vertical="center" indent="1"/>
      <protection locked="0"/>
    </xf>
    <xf numFmtId="0" fontId="8" fillId="0" borderId="28" xfId="175" quotePrefix="1" applyNumberFormat="1" applyFont="1" applyFill="1" applyBorder="1" applyAlignment="1" applyProtection="1">
      <alignment horizontal="left" vertical="center" indent="1"/>
      <protection locked="0"/>
    </xf>
    <xf numFmtId="10" fontId="60" fillId="58" borderId="63" xfId="103" applyNumberFormat="1" applyFont="1" applyFill="1" applyBorder="1" applyAlignment="1" applyProtection="1">
      <alignment horizontal="center" vertical="center" wrapText="1"/>
    </xf>
    <xf numFmtId="0" fontId="60" fillId="0" borderId="63" xfId="103" applyNumberFormat="1" applyFont="1" applyFill="1" applyBorder="1" applyAlignment="1" applyProtection="1">
      <alignment horizontal="center" vertical="center" wrapText="1"/>
    </xf>
    <xf numFmtId="10" fontId="8" fillId="58" borderId="63" xfId="103" applyNumberFormat="1" applyFont="1" applyFill="1" applyBorder="1" applyAlignment="1" applyProtection="1">
      <alignment horizontal="center" vertical="center" wrapText="1"/>
    </xf>
    <xf numFmtId="0" fontId="8" fillId="0" borderId="47" xfId="175" quotePrefix="1" applyNumberFormat="1" applyFont="1" applyFill="1" applyBorder="1" applyAlignment="1" applyProtection="1">
      <alignment vertical="center"/>
      <protection locked="0"/>
    </xf>
    <xf numFmtId="1" fontId="11" fillId="58" borderId="38" xfId="92" applyNumberFormat="1" applyFont="1" applyFill="1" applyBorder="1" applyAlignment="1" applyProtection="1">
      <alignment horizontal="left" vertical="center" indent="1"/>
      <protection locked="0"/>
    </xf>
    <xf numFmtId="181" fontId="0" fillId="59" borderId="28" xfId="0" applyNumberFormat="1" applyFill="1" applyBorder="1"/>
    <xf numFmtId="0" fontId="53" fillId="60" borderId="0" xfId="173" applyNumberFormat="1" applyFont="1" applyFill="1" applyBorder="1" applyAlignment="1" applyProtection="1">
      <alignment horizontal="center" vertical="center" wrapText="1"/>
    </xf>
    <xf numFmtId="3" fontId="12" fillId="69" borderId="28" xfId="0" applyNumberFormat="1" applyFont="1" applyFill="1" applyBorder="1"/>
    <xf numFmtId="3" fontId="12" fillId="73" borderId="27" xfId="0" applyNumberFormat="1" applyFont="1" applyFill="1" applyBorder="1"/>
    <xf numFmtId="183" fontId="12" fillId="74" borderId="27" xfId="0" applyNumberFormat="1" applyFont="1" applyFill="1" applyBorder="1"/>
    <xf numFmtId="3" fontId="12" fillId="69" borderId="28" xfId="51" applyNumberFormat="1" applyFont="1" applyFill="1" applyBorder="1"/>
    <xf numFmtId="3" fontId="0" fillId="73" borderId="37" xfId="0" applyNumberFormat="1" applyFill="1" applyBorder="1"/>
    <xf numFmtId="0" fontId="68" fillId="0" borderId="0" xfId="0" applyFont="1" applyFill="1" applyBorder="1" applyAlignment="1">
      <alignment horizontal="center" vertical="center" wrapText="1"/>
    </xf>
    <xf numFmtId="3" fontId="12" fillId="0" borderId="0" xfId="0" applyNumberFormat="1" applyFont="1" applyFill="1" applyBorder="1"/>
    <xf numFmtId="3" fontId="8" fillId="0" borderId="0" xfId="0" applyNumberFormat="1" applyFont="1" applyFill="1" applyBorder="1" applyAlignment="1">
      <alignment horizontal="center"/>
    </xf>
    <xf numFmtId="3" fontId="0" fillId="0" borderId="0" xfId="0" applyNumberFormat="1" applyFill="1" applyBorder="1" applyAlignment="1">
      <alignment horizontal="center"/>
    </xf>
    <xf numFmtId="3" fontId="0" fillId="0" borderId="0" xfId="0" applyNumberFormat="1" applyFont="1" applyFill="1" applyBorder="1" applyAlignment="1">
      <alignment horizontal="center"/>
    </xf>
    <xf numFmtId="0" fontId="8" fillId="0" borderId="0" xfId="0" applyFont="1" applyFill="1" applyBorder="1" applyAlignment="1">
      <alignment horizontal="left" wrapText="1"/>
    </xf>
    <xf numFmtId="3" fontId="8" fillId="0" borderId="0" xfId="0" applyNumberFormat="1" applyFont="1" applyFill="1" applyBorder="1" applyAlignment="1">
      <alignment wrapText="1"/>
    </xf>
    <xf numFmtId="0" fontId="65" fillId="73" borderId="27" xfId="0" applyFont="1" applyFill="1" applyBorder="1"/>
    <xf numFmtId="0" fontId="8" fillId="0" borderId="0" xfId="0" applyFont="1" applyAlignment="1">
      <alignment horizontal="center"/>
    </xf>
    <xf numFmtId="0" fontId="17" fillId="60" borderId="0" xfId="99" applyFont="1" applyFill="1" applyBorder="1" applyAlignment="1" applyProtection="1">
      <alignment horizontal="left" vertical="center"/>
    </xf>
    <xf numFmtId="0" fontId="109" fillId="0" borderId="0" xfId="1284" applyFill="1" applyAlignment="1" applyProtection="1"/>
    <xf numFmtId="0" fontId="102" fillId="0" borderId="0" xfId="0" applyFont="1" applyFill="1"/>
    <xf numFmtId="0" fontId="64" fillId="75" borderId="0" xfId="0" applyFont="1" applyFill="1"/>
    <xf numFmtId="0" fontId="17" fillId="75" borderId="0" xfId="99" applyFont="1" applyFill="1" applyBorder="1" applyAlignment="1" applyProtection="1">
      <alignment horizontal="left" vertical="center"/>
    </xf>
    <xf numFmtId="0" fontId="108" fillId="0" borderId="0" xfId="0" applyFont="1" applyFill="1" applyBorder="1"/>
    <xf numFmtId="10" fontId="89" fillId="0" borderId="0" xfId="103" applyNumberFormat="1" applyFont="1" applyFill="1" applyBorder="1" applyAlignment="1" applyProtection="1">
      <alignment horizontal="center" vertical="center" wrapText="1"/>
    </xf>
    <xf numFmtId="10" fontId="8" fillId="0" borderId="0" xfId="0" applyNumberFormat="1" applyFont="1" applyFill="1" applyBorder="1" applyAlignment="1">
      <alignment horizontal="center" vertical="center" wrapText="1"/>
    </xf>
    <xf numFmtId="2" fontId="0" fillId="0" borderId="63" xfId="0" applyNumberFormat="1" applyFill="1" applyBorder="1"/>
    <xf numFmtId="0" fontId="22" fillId="75" borderId="0" xfId="99" applyFont="1" applyFill="1" applyBorder="1" applyAlignment="1" applyProtection="1">
      <alignment vertical="center"/>
    </xf>
    <xf numFmtId="0" fontId="116" fillId="0" borderId="0" xfId="99" applyFont="1" applyFill="1" applyBorder="1" applyAlignment="1" applyProtection="1">
      <alignment horizontal="center" vertical="center"/>
    </xf>
    <xf numFmtId="0" fontId="12" fillId="0" borderId="0" xfId="0" applyFont="1" applyFill="1" applyAlignment="1">
      <alignment wrapText="1"/>
    </xf>
    <xf numFmtId="0" fontId="64" fillId="75" borderId="0" xfId="172" applyFont="1" applyFill="1"/>
    <xf numFmtId="0" fontId="8" fillId="78" borderId="27" xfId="0" applyFont="1" applyFill="1" applyBorder="1" applyAlignment="1">
      <alignment horizontal="left"/>
    </xf>
    <xf numFmtId="10" fontId="12" fillId="74" borderId="27" xfId="0" applyNumberFormat="1" applyFont="1" applyFill="1" applyBorder="1"/>
    <xf numFmtId="0" fontId="8" fillId="57" borderId="33" xfId="102" applyFont="1" applyFill="1" applyBorder="1"/>
    <xf numFmtId="169" fontId="11" fillId="42" borderId="33" xfId="92" quotePrefix="1" applyNumberFormat="1" applyFont="1" applyFill="1" applyBorder="1" applyAlignment="1" applyProtection="1">
      <alignment horizontal="left" vertical="center" indent="1"/>
      <protection locked="0"/>
    </xf>
    <xf numFmtId="0" fontId="63" fillId="73" borderId="33" xfId="0" applyFont="1" applyFill="1" applyBorder="1"/>
    <xf numFmtId="4" fontId="0" fillId="59" borderId="33" xfId="0" applyNumberFormat="1" applyFill="1" applyBorder="1"/>
    <xf numFmtId="0" fontId="8" fillId="57" borderId="28" xfId="102" applyFont="1" applyFill="1" applyBorder="1"/>
    <xf numFmtId="167" fontId="0" fillId="59" borderId="28" xfId="0" applyNumberFormat="1" applyFill="1" applyBorder="1"/>
    <xf numFmtId="0" fontId="8" fillId="75" borderId="29" xfId="102" applyFont="1" applyFill="1" applyBorder="1"/>
    <xf numFmtId="2" fontId="8" fillId="75" borderId="29" xfId="102" applyNumberFormat="1" applyFont="1" applyFill="1" applyBorder="1"/>
    <xf numFmtId="167" fontId="11" fillId="75" borderId="29" xfId="102" applyNumberFormat="1" applyFont="1" applyFill="1" applyBorder="1" applyAlignment="1">
      <alignment horizontal="center"/>
    </xf>
    <xf numFmtId="167" fontId="11" fillId="75" borderId="29" xfId="92" applyNumberFormat="1" applyFont="1" applyFill="1" applyBorder="1" applyAlignment="1" applyProtection="1">
      <alignment vertical="center"/>
      <protection locked="0"/>
    </xf>
    <xf numFmtId="167" fontId="8" fillId="75" borderId="29" xfId="92" quotePrefix="1" applyNumberFormat="1" applyFont="1" applyFill="1" applyBorder="1" applyAlignment="1" applyProtection="1">
      <alignment horizontal="left" vertical="center" indent="1"/>
      <protection locked="0"/>
    </xf>
    <xf numFmtId="167" fontId="8" fillId="75" borderId="29" xfId="92" applyNumberFormat="1" applyFont="1" applyFill="1" applyBorder="1" applyAlignment="1" applyProtection="1">
      <alignment horizontal="left" vertical="center" indent="1"/>
      <protection locked="0"/>
    </xf>
    <xf numFmtId="169" fontId="11" fillId="75" borderId="29" xfId="92" quotePrefix="1" applyNumberFormat="1" applyFont="1" applyFill="1" applyBorder="1" applyAlignment="1" applyProtection="1">
      <alignment horizontal="left" vertical="center" indent="1"/>
      <protection locked="0"/>
    </xf>
    <xf numFmtId="3" fontId="11" fillId="75" borderId="29" xfId="92" applyNumberFormat="1" applyFont="1" applyFill="1" applyBorder="1" applyAlignment="1" applyProtection="1">
      <alignment horizontal="right" vertical="center" indent="1"/>
      <protection locked="0"/>
    </xf>
    <xf numFmtId="167" fontId="11" fillId="75" borderId="29" xfId="92" applyNumberFormat="1" applyFont="1" applyFill="1" applyBorder="1" applyAlignment="1" applyProtection="1">
      <alignment horizontal="left" vertical="center" indent="1"/>
      <protection locked="0"/>
    </xf>
    <xf numFmtId="0" fontId="63" fillId="75" borderId="29" xfId="0" applyFont="1" applyFill="1" applyBorder="1"/>
    <xf numFmtId="4" fontId="0" fillId="75" borderId="29" xfId="0" applyNumberFormat="1" applyFill="1" applyBorder="1"/>
    <xf numFmtId="167" fontId="8" fillId="73" borderId="28" xfId="92" quotePrefix="1" applyNumberFormat="1" applyFont="1" applyFill="1" applyBorder="1" applyAlignment="1" applyProtection="1">
      <alignment horizontal="left" vertical="center" indent="1"/>
      <protection locked="0"/>
    </xf>
    <xf numFmtId="167" fontId="8" fillId="73" borderId="28" xfId="92" applyNumberFormat="1" applyFont="1" applyFill="1" applyBorder="1" applyAlignment="1" applyProtection="1">
      <alignment horizontal="left" vertical="center" indent="1"/>
      <protection locked="0"/>
    </xf>
    <xf numFmtId="169" fontId="8" fillId="73" borderId="28" xfId="92" quotePrefix="1" applyNumberFormat="1" applyFont="1" applyFill="1" applyBorder="1" applyAlignment="1" applyProtection="1">
      <alignment horizontal="left" vertical="center" indent="1"/>
      <protection locked="0"/>
    </xf>
    <xf numFmtId="167" fontId="8" fillId="73" borderId="27" xfId="92" quotePrefix="1" applyNumberFormat="1" applyFont="1" applyFill="1" applyBorder="1" applyAlignment="1" applyProtection="1">
      <alignment horizontal="left" vertical="center" indent="1"/>
      <protection locked="0"/>
    </xf>
    <xf numFmtId="167" fontId="8" fillId="73" borderId="27" xfId="92" applyNumberFormat="1" applyFont="1" applyFill="1" applyBorder="1" applyAlignment="1" applyProtection="1">
      <alignment horizontal="left" vertical="center" indent="1"/>
      <protection locked="0"/>
    </xf>
    <xf numFmtId="169" fontId="8" fillId="73" borderId="27" xfId="92" quotePrefix="1" applyNumberFormat="1" applyFont="1" applyFill="1" applyBorder="1" applyAlignment="1" applyProtection="1">
      <alignment horizontal="left" vertical="center" indent="1"/>
      <protection locked="0"/>
    </xf>
    <xf numFmtId="167" fontId="11" fillId="42" borderId="27" xfId="92" quotePrefix="1" applyNumberFormat="1" applyFont="1" applyFill="1" applyBorder="1" applyAlignment="1" applyProtection="1">
      <alignment horizontal="right" vertical="center" indent="1"/>
      <protection locked="0"/>
    </xf>
    <xf numFmtId="3" fontId="8" fillId="58" borderId="38" xfId="51" applyNumberFormat="1" applyFont="1" applyFill="1" applyBorder="1" applyAlignment="1" applyProtection="1">
      <alignment horizontal="right" vertical="center"/>
      <protection locked="0"/>
    </xf>
    <xf numFmtId="3" fontId="8" fillId="58" borderId="31" xfId="51" applyNumberFormat="1" applyFont="1" applyFill="1" applyBorder="1" applyAlignment="1" applyProtection="1">
      <alignment horizontal="right" vertical="center"/>
      <protection locked="0"/>
    </xf>
    <xf numFmtId="3" fontId="11" fillId="58" borderId="31" xfId="92" applyNumberFormat="1" applyFont="1" applyFill="1" applyBorder="1" applyAlignment="1" applyProtection="1">
      <alignment horizontal="right" vertical="center"/>
      <protection locked="0"/>
    </xf>
    <xf numFmtId="3" fontId="11" fillId="58" borderId="53" xfId="92" applyNumberFormat="1" applyFont="1" applyFill="1" applyBorder="1" applyAlignment="1" applyProtection="1">
      <alignment horizontal="right" vertical="center"/>
      <protection locked="0"/>
    </xf>
    <xf numFmtId="167" fontId="11" fillId="42" borderId="27" xfId="92" quotePrefix="1" applyNumberFormat="1" applyFont="1" applyFill="1" applyBorder="1" applyAlignment="1" applyProtection="1">
      <alignment horizontal="right" vertical="center"/>
      <protection locked="0"/>
    </xf>
    <xf numFmtId="167" fontId="8" fillId="42" borderId="27" xfId="92" quotePrefix="1" applyNumberFormat="1" applyFont="1" applyFill="1" applyBorder="1" applyAlignment="1" applyProtection="1">
      <alignment horizontal="right" vertical="center"/>
      <protection locked="0"/>
    </xf>
    <xf numFmtId="167" fontId="8" fillId="42" borderId="33" xfId="92" quotePrefix="1" applyNumberFormat="1" applyFont="1" applyFill="1" applyBorder="1" applyAlignment="1" applyProtection="1">
      <alignment horizontal="right" vertical="center"/>
      <protection locked="0"/>
    </xf>
    <xf numFmtId="167" fontId="11" fillId="69" borderId="27" xfId="102" applyNumberFormat="1" applyFont="1" applyFill="1" applyBorder="1" applyAlignment="1">
      <alignment horizontal="right"/>
    </xf>
    <xf numFmtId="167" fontId="11" fillId="42" borderId="27" xfId="92" applyNumberFormat="1" applyFont="1" applyFill="1" applyBorder="1" applyAlignment="1" applyProtection="1">
      <alignment horizontal="right" vertical="center"/>
      <protection locked="0"/>
    </xf>
    <xf numFmtId="2" fontId="8" fillId="0" borderId="27" xfId="102" applyNumberFormat="1" applyFont="1" applyFill="1" applyBorder="1" applyAlignment="1">
      <alignment horizontal="right"/>
    </xf>
    <xf numFmtId="2" fontId="8" fillId="0" borderId="33" xfId="102" applyNumberFormat="1" applyFont="1" applyFill="1" applyBorder="1" applyAlignment="1">
      <alignment horizontal="right"/>
    </xf>
    <xf numFmtId="167" fontId="11" fillId="69" borderId="33" xfId="102" applyNumberFormat="1" applyFont="1" applyFill="1" applyBorder="1" applyAlignment="1">
      <alignment horizontal="right"/>
    </xf>
    <xf numFmtId="167" fontId="11" fillId="42" borderId="33" xfId="92" applyNumberFormat="1" applyFont="1" applyFill="1" applyBorder="1" applyAlignment="1" applyProtection="1">
      <alignment horizontal="right" vertical="center"/>
      <protection locked="0"/>
    </xf>
    <xf numFmtId="167" fontId="8" fillId="0" borderId="28" xfId="102" applyNumberFormat="1" applyFont="1" applyFill="1" applyBorder="1" applyAlignment="1">
      <alignment horizontal="right"/>
    </xf>
    <xf numFmtId="167" fontId="11" fillId="69" borderId="28" xfId="102" applyNumberFormat="1" applyFont="1" applyFill="1" applyBorder="1" applyAlignment="1">
      <alignment horizontal="right"/>
    </xf>
    <xf numFmtId="167" fontId="8" fillId="42" borderId="28" xfId="92" applyNumberFormat="1" applyFont="1" applyFill="1" applyBorder="1" applyAlignment="1" applyProtection="1">
      <alignment horizontal="right" vertical="center"/>
      <protection locked="0"/>
    </xf>
    <xf numFmtId="167" fontId="8" fillId="69" borderId="27" xfId="92" applyNumberFormat="1" applyFont="1" applyFill="1" applyBorder="1" applyAlignment="1" applyProtection="1">
      <alignment horizontal="right" vertical="center"/>
      <protection locked="0"/>
    </xf>
    <xf numFmtId="167" fontId="8" fillId="0" borderId="27" xfId="102" applyNumberFormat="1" applyFont="1" applyFill="1" applyBorder="1" applyAlignment="1">
      <alignment horizontal="right"/>
    </xf>
    <xf numFmtId="167" fontId="8" fillId="69" borderId="27" xfId="102" applyNumberFormat="1" applyFont="1" applyFill="1" applyBorder="1" applyAlignment="1">
      <alignment horizontal="right"/>
    </xf>
    <xf numFmtId="167" fontId="11" fillId="42" borderId="27" xfId="92" applyNumberFormat="1" applyFont="1" applyFill="1" applyBorder="1" applyAlignment="1" applyProtection="1">
      <alignment horizontal="right" vertical="center" indent="1"/>
      <protection locked="0"/>
    </xf>
    <xf numFmtId="167" fontId="11" fillId="42" borderId="33" xfId="92" applyNumberFormat="1" applyFont="1" applyFill="1" applyBorder="1" applyAlignment="1" applyProtection="1">
      <alignment horizontal="right" vertical="center" indent="1"/>
      <protection locked="0"/>
    </xf>
    <xf numFmtId="167" fontId="11" fillId="75" borderId="29" xfId="92" quotePrefix="1" applyNumberFormat="1" applyFont="1" applyFill="1" applyBorder="1" applyAlignment="1" applyProtection="1">
      <alignment horizontal="right" vertical="center" indent="1"/>
      <protection locked="0"/>
    </xf>
    <xf numFmtId="167" fontId="11" fillId="42" borderId="28" xfId="92" quotePrefix="1" applyNumberFormat="1" applyFont="1" applyFill="1" applyBorder="1" applyAlignment="1" applyProtection="1">
      <alignment horizontal="right" vertical="center" indent="1"/>
      <protection locked="0"/>
    </xf>
    <xf numFmtId="0" fontId="65" fillId="0" borderId="0" xfId="98" applyFont="1" applyFill="1" applyBorder="1" applyAlignment="1">
      <alignment horizontal="center" vertical="center"/>
    </xf>
    <xf numFmtId="0" fontId="8" fillId="75" borderId="0" xfId="172" applyFont="1" applyFill="1"/>
    <xf numFmtId="173" fontId="8" fillId="0" borderId="0" xfId="177" applyNumberFormat="1" applyFont="1" applyFill="1" applyBorder="1"/>
    <xf numFmtId="0" fontId="8" fillId="73" borderId="27" xfId="172" applyFont="1" applyFill="1" applyBorder="1"/>
    <xf numFmtId="0" fontId="18" fillId="75" borderId="21" xfId="99" applyFont="1" applyFill="1" applyBorder="1" applyAlignment="1" applyProtection="1">
      <alignment horizontal="left" vertical="center"/>
    </xf>
    <xf numFmtId="0" fontId="94" fillId="75" borderId="0" xfId="173" applyNumberFormat="1" applyFont="1" applyFill="1" applyBorder="1" applyAlignment="1" applyProtection="1">
      <alignment horizontal="center" vertical="center" wrapText="1"/>
    </xf>
    <xf numFmtId="0" fontId="17" fillId="60" borderId="0" xfId="99" applyFont="1" applyFill="1" applyBorder="1" applyAlignment="1" applyProtection="1">
      <alignment horizontal="left" vertical="center"/>
    </xf>
    <xf numFmtId="0" fontId="22" fillId="0" borderId="0" xfId="99" applyFont="1" applyFill="1" applyBorder="1" applyAlignment="1" applyProtection="1">
      <alignment horizontal="right" vertical="center"/>
    </xf>
    <xf numFmtId="0" fontId="68" fillId="75" borderId="55" xfId="0" applyFont="1" applyFill="1" applyBorder="1" applyAlignment="1">
      <alignment horizontal="center" vertical="center"/>
    </xf>
    <xf numFmtId="0" fontId="68" fillId="75" borderId="0" xfId="0" applyFont="1" applyFill="1" applyBorder="1" applyAlignment="1">
      <alignment horizontal="center" vertical="center"/>
    </xf>
    <xf numFmtId="0" fontId="68" fillId="75" borderId="56" xfId="0" applyFont="1" applyFill="1" applyBorder="1" applyAlignment="1">
      <alignment horizontal="center" vertical="center"/>
    </xf>
    <xf numFmtId="0" fontId="68" fillId="75" borderId="61" xfId="0" applyFont="1" applyFill="1" applyBorder="1" applyAlignment="1">
      <alignment horizontal="center" vertical="center"/>
    </xf>
    <xf numFmtId="0" fontId="68" fillId="75" borderId="60" xfId="0" applyFont="1" applyFill="1" applyBorder="1" applyAlignment="1">
      <alignment horizontal="center" vertical="center"/>
    </xf>
    <xf numFmtId="0" fontId="8" fillId="0" borderId="0" xfId="0" applyFont="1" applyFill="1" applyBorder="1" applyAlignment="1">
      <alignment horizontal="center"/>
    </xf>
    <xf numFmtId="0" fontId="68" fillId="75" borderId="0" xfId="178" applyFont="1" applyFill="1" applyBorder="1" applyAlignment="1">
      <alignment horizontal="center" vertical="center"/>
    </xf>
    <xf numFmtId="10" fontId="63" fillId="0" borderId="0" xfId="92" applyNumberFormat="1" applyFont="1" applyFill="1" applyBorder="1" applyAlignment="1" applyProtection="1">
      <alignment horizontal="right" indent="1"/>
      <protection locked="0"/>
    </xf>
    <xf numFmtId="3" fontId="8" fillId="0" borderId="27" xfId="0" applyNumberFormat="1" applyFont="1" applyFill="1" applyBorder="1" applyAlignment="1"/>
    <xf numFmtId="3" fontId="8" fillId="0" borderId="27" xfId="0" applyNumberFormat="1" applyFont="1" applyBorder="1" applyAlignment="1"/>
    <xf numFmtId="3" fontId="8" fillId="0" borderId="0" xfId="0" applyNumberFormat="1" applyFont="1" applyFill="1" applyBorder="1" applyAlignment="1"/>
    <xf numFmtId="10" fontId="8" fillId="58" borderId="27" xfId="4" applyNumberFormat="1" applyFont="1" applyFill="1" applyBorder="1"/>
    <xf numFmtId="0" fontId="102" fillId="0" borderId="0" xfId="0" applyFont="1" applyAlignment="1">
      <alignment vertical="top"/>
    </xf>
    <xf numFmtId="0" fontId="63" fillId="0" borderId="0" xfId="0" applyFont="1" applyFill="1" applyAlignment="1">
      <alignment horizontal="left"/>
    </xf>
    <xf numFmtId="0" fontId="63" fillId="0" borderId="0" xfId="0" applyFont="1" applyAlignment="1">
      <alignment horizontal="left"/>
    </xf>
    <xf numFmtId="10" fontId="0" fillId="74" borderId="27" xfId="0" applyNumberFormat="1" applyFill="1" applyBorder="1"/>
    <xf numFmtId="0" fontId="117" fillId="75" borderId="0" xfId="0" applyFont="1" applyFill="1"/>
    <xf numFmtId="0" fontId="8" fillId="61" borderId="0" xfId="178" applyFont="1" applyFill="1" applyBorder="1" applyAlignment="1">
      <alignment horizontal="center"/>
    </xf>
    <xf numFmtId="0" fontId="68" fillId="75" borderId="0" xfId="178" applyFont="1" applyFill="1" applyBorder="1"/>
    <xf numFmtId="0" fontId="68" fillId="75" borderId="0" xfId="178" applyFont="1" applyFill="1" applyBorder="1" applyAlignment="1"/>
    <xf numFmtId="3" fontId="0" fillId="78" borderId="37" xfId="0" applyNumberFormat="1" applyFill="1" applyBorder="1"/>
    <xf numFmtId="0" fontId="18" fillId="60" borderId="24" xfId="0" applyFont="1" applyFill="1" applyBorder="1" applyAlignment="1">
      <alignment horizontal="center"/>
    </xf>
    <xf numFmtId="0" fontId="18" fillId="75" borderId="24" xfId="0" applyFont="1" applyFill="1" applyBorder="1" applyAlignment="1">
      <alignment horizontal="center"/>
    </xf>
    <xf numFmtId="0" fontId="18" fillId="60" borderId="24" xfId="0" applyFont="1" applyFill="1" applyBorder="1" applyAlignment="1">
      <alignment horizontal="center" vertical="center"/>
    </xf>
    <xf numFmtId="0" fontId="18" fillId="75" borderId="0" xfId="0" applyFont="1" applyFill="1" applyBorder="1" applyAlignment="1">
      <alignment horizontal="center" vertical="center"/>
    </xf>
    <xf numFmtId="3" fontId="11" fillId="0" borderId="27" xfId="0" applyNumberFormat="1" applyFont="1" applyFill="1" applyBorder="1"/>
    <xf numFmtId="3" fontId="11" fillId="0" borderId="27" xfId="99" applyNumberFormat="1" applyFont="1" applyFill="1" applyBorder="1" applyAlignment="1" applyProtection="1">
      <alignment vertical="center"/>
    </xf>
    <xf numFmtId="10" fontId="8" fillId="78" borderId="27" xfId="0" applyNumberFormat="1" applyFont="1" applyFill="1" applyBorder="1" applyAlignment="1">
      <alignment horizontal="center" vertical="center" wrapText="1"/>
    </xf>
    <xf numFmtId="0" fontId="63" fillId="0" borderId="0" xfId="0" applyFont="1" applyFill="1" applyBorder="1" applyAlignment="1"/>
    <xf numFmtId="0" fontId="18" fillId="0" borderId="0" xfId="178" applyFont="1" applyFill="1" applyBorder="1" applyAlignment="1"/>
    <xf numFmtId="0" fontId="18" fillId="0" borderId="0" xfId="98" applyFont="1" applyFill="1" applyBorder="1" applyAlignment="1"/>
    <xf numFmtId="0" fontId="17" fillId="60" borderId="19" xfId="99" applyFont="1" applyFill="1" applyBorder="1" applyAlignment="1" applyProtection="1">
      <alignment horizontal="left" vertical="center"/>
    </xf>
    <xf numFmtId="0" fontId="67" fillId="60" borderId="19" xfId="99" applyFont="1" applyFill="1" applyBorder="1" applyAlignment="1" applyProtection="1">
      <alignment horizontal="left" vertical="center"/>
    </xf>
    <xf numFmtId="0" fontId="22" fillId="60" borderId="19" xfId="99" applyFont="1" applyFill="1" applyBorder="1" applyAlignment="1" applyProtection="1">
      <alignment vertical="center"/>
    </xf>
    <xf numFmtId="0" fontId="84" fillId="75" borderId="19" xfId="99" applyFont="1" applyFill="1" applyBorder="1" applyAlignment="1" applyProtection="1"/>
    <xf numFmtId="0" fontId="22" fillId="60" borderId="20" xfId="99" applyFont="1" applyFill="1" applyBorder="1" applyAlignment="1" applyProtection="1">
      <alignment horizontal="right" vertical="center"/>
    </xf>
    <xf numFmtId="0" fontId="8" fillId="75" borderId="21" xfId="0" applyFont="1" applyFill="1" applyBorder="1"/>
    <xf numFmtId="0" fontId="23" fillId="0" borderId="26" xfId="98" applyFont="1" applyFill="1" applyBorder="1"/>
    <xf numFmtId="3" fontId="8" fillId="0" borderId="26" xfId="98" applyNumberFormat="1" applyFont="1" applyFill="1" applyBorder="1"/>
    <xf numFmtId="0" fontId="22" fillId="0" borderId="19" xfId="99" applyFont="1" applyFill="1" applyBorder="1" applyAlignment="1" applyProtection="1">
      <alignment vertical="center"/>
    </xf>
    <xf numFmtId="0" fontId="22" fillId="0" borderId="19" xfId="99" applyFont="1" applyFill="1" applyBorder="1" applyAlignment="1" applyProtection="1">
      <alignment horizontal="right" vertical="center"/>
    </xf>
    <xf numFmtId="0" fontId="62" fillId="0" borderId="19" xfId="99" applyFont="1" applyFill="1" applyBorder="1" applyAlignment="1" applyProtection="1">
      <alignment vertical="center"/>
    </xf>
    <xf numFmtId="0" fontId="14" fillId="0" borderId="19" xfId="99" applyFont="1" applyFill="1" applyBorder="1" applyAlignment="1" applyProtection="1">
      <alignment vertical="center"/>
    </xf>
    <xf numFmtId="0" fontId="14" fillId="0" borderId="20" xfId="99" applyFont="1" applyFill="1" applyBorder="1" applyAlignment="1" applyProtection="1">
      <alignment vertical="center"/>
    </xf>
    <xf numFmtId="0" fontId="11" fillId="0" borderId="0" xfId="0" applyFont="1" applyFill="1" applyBorder="1"/>
    <xf numFmtId="0" fontId="11" fillId="0" borderId="22" xfId="0" applyFont="1" applyFill="1" applyBorder="1"/>
    <xf numFmtId="0" fontId="8" fillId="61" borderId="21" xfId="98" applyFont="1" applyFill="1" applyBorder="1"/>
    <xf numFmtId="167" fontId="8" fillId="0" borderId="0" xfId="0" applyNumberFormat="1" applyFont="1" applyBorder="1"/>
    <xf numFmtId="0" fontId="8" fillId="0" borderId="26" xfId="0" applyFont="1" applyBorder="1"/>
    <xf numFmtId="3" fontId="8" fillId="0" borderId="26" xfId="172" applyNumberFormat="1" applyFont="1" applyFill="1" applyBorder="1"/>
    <xf numFmtId="164" fontId="8" fillId="0" borderId="26" xfId="545" applyNumberFormat="1" applyFont="1" applyFill="1" applyBorder="1" applyAlignment="1" applyProtection="1">
      <protection locked="0"/>
    </xf>
    <xf numFmtId="0" fontId="8" fillId="0" borderId="65" xfId="0" applyFont="1" applyBorder="1"/>
    <xf numFmtId="0" fontId="8" fillId="0" borderId="65" xfId="0" applyFont="1" applyBorder="1" applyAlignment="1">
      <alignment horizontal="left"/>
    </xf>
    <xf numFmtId="0" fontId="63" fillId="0" borderId="22" xfId="0" applyFont="1" applyFill="1" applyBorder="1"/>
    <xf numFmtId="0" fontId="64" fillId="0" borderId="21" xfId="0" applyFont="1" applyFill="1" applyBorder="1"/>
    <xf numFmtId="0" fontId="64" fillId="0" borderId="22" xfId="0" applyFont="1" applyFill="1" applyBorder="1"/>
    <xf numFmtId="0" fontId="12" fillId="0" borderId="21" xfId="0" applyFont="1" applyFill="1" applyBorder="1"/>
    <xf numFmtId="0" fontId="68" fillId="0" borderId="21" xfId="98" applyFont="1" applyFill="1" applyBorder="1"/>
    <xf numFmtId="0" fontId="0" fillId="0" borderId="22" xfId="0" applyFill="1" applyBorder="1"/>
    <xf numFmtId="0" fontId="14" fillId="0" borderId="21" xfId="0" applyFont="1" applyBorder="1"/>
    <xf numFmtId="0" fontId="14" fillId="0" borderId="0" xfId="0" applyFont="1" applyBorder="1"/>
    <xf numFmtId="0" fontId="100" fillId="0" borderId="0" xfId="0" applyFont="1" applyBorder="1"/>
    <xf numFmtId="0" fontId="14" fillId="0" borderId="0" xfId="0" applyFont="1" applyFill="1" applyBorder="1"/>
    <xf numFmtId="0" fontId="14" fillId="0" borderId="22" xfId="0" applyFont="1" applyFill="1" applyBorder="1"/>
    <xf numFmtId="0" fontId="0" fillId="0" borderId="23" xfId="0" applyBorder="1"/>
    <xf numFmtId="0" fontId="0" fillId="0" borderId="24" xfId="0" applyBorder="1"/>
    <xf numFmtId="0" fontId="0" fillId="0" borderId="24" xfId="0" applyFill="1" applyBorder="1"/>
    <xf numFmtId="0" fontId="0" fillId="0" borderId="25" xfId="0" applyFill="1" applyBorder="1"/>
    <xf numFmtId="10" fontId="8" fillId="69" borderId="27" xfId="92" applyNumberFormat="1" applyFont="1" applyFill="1" applyBorder="1" applyAlignment="1" applyProtection="1">
      <alignment horizontal="right" indent="1"/>
      <protection locked="0"/>
    </xf>
    <xf numFmtId="0" fontId="8" fillId="0" borderId="0" xfId="172" applyFont="1" applyAlignment="1">
      <alignment horizontal="center"/>
    </xf>
    <xf numFmtId="0" fontId="91" fillId="0" borderId="32" xfId="174" applyFont="1" applyFill="1" applyBorder="1" applyAlignment="1">
      <alignment horizontal="left" indent="1"/>
    </xf>
    <xf numFmtId="0" fontId="84" fillId="60" borderId="0" xfId="99" applyFont="1" applyFill="1" applyBorder="1" applyAlignment="1" applyProtection="1">
      <alignment vertical="center"/>
    </xf>
    <xf numFmtId="185" fontId="63" fillId="0" borderId="0" xfId="92" quotePrefix="1" applyNumberFormat="1" applyFont="1" applyFill="1" applyBorder="1" applyAlignment="1" applyProtection="1">
      <alignment vertical="center"/>
      <protection locked="0"/>
    </xf>
    <xf numFmtId="185" fontId="0" fillId="0" borderId="0" xfId="0" applyNumberFormat="1"/>
    <xf numFmtId="1" fontId="63" fillId="0" borderId="0" xfId="0" applyNumberFormat="1" applyFont="1"/>
    <xf numFmtId="3" fontId="12" fillId="0" borderId="0" xfId="0" applyNumberFormat="1" applyFont="1"/>
    <xf numFmtId="3" fontId="12" fillId="0" borderId="0" xfId="0" applyNumberFormat="1" applyFont="1" applyBorder="1"/>
    <xf numFmtId="0" fontId="8" fillId="0" borderId="0" xfId="99" applyFont="1" applyFill="1" applyBorder="1" applyAlignment="1" applyProtection="1">
      <alignment horizontal="left" vertical="center"/>
    </xf>
    <xf numFmtId="3" fontId="8" fillId="78" borderId="27" xfId="0" applyNumberFormat="1" applyFont="1" applyFill="1" applyBorder="1" applyAlignment="1">
      <alignment horizontal="right"/>
    </xf>
    <xf numFmtId="0" fontId="8" fillId="0" borderId="27" xfId="4" applyNumberFormat="1" applyFont="1" applyFill="1" applyBorder="1"/>
    <xf numFmtId="0" fontId="11" fillId="0" borderId="27" xfId="4" applyFont="1" applyFill="1" applyBorder="1"/>
    <xf numFmtId="0" fontId="12" fillId="0" borderId="0" xfId="99" applyFont="1" applyFill="1" applyBorder="1" applyAlignment="1" applyProtection="1">
      <alignment horizontal="left" vertical="center" wrapText="1"/>
    </xf>
    <xf numFmtId="3" fontId="8" fillId="0" borderId="0" xfId="0" applyNumberFormat="1" applyFont="1" applyFill="1" applyBorder="1" applyAlignment="1">
      <alignment horizontal="right"/>
    </xf>
    <xf numFmtId="3" fontId="8" fillId="0" borderId="0" xfId="0" applyNumberFormat="1" applyFont="1" applyFill="1" applyBorder="1" applyAlignment="1">
      <alignment horizontal="right" vertical="center" wrapText="1"/>
    </xf>
    <xf numFmtId="3" fontId="8" fillId="78" borderId="27" xfId="99" applyNumberFormat="1" applyFont="1" applyFill="1" applyBorder="1" applyAlignment="1" applyProtection="1">
      <alignment horizontal="right" vertical="center" wrapText="1"/>
    </xf>
    <xf numFmtId="172" fontId="0" fillId="69" borderId="27" xfId="0" applyNumberFormat="1" applyFill="1" applyBorder="1"/>
    <xf numFmtId="172" fontId="0" fillId="74" borderId="27" xfId="0" applyNumberFormat="1" applyFill="1" applyBorder="1"/>
    <xf numFmtId="167" fontId="8" fillId="74" borderId="27" xfId="99" applyNumberFormat="1" applyFont="1" applyFill="1" applyBorder="1" applyAlignment="1" applyProtection="1">
      <alignment horizontal="right" vertical="center" wrapText="1"/>
    </xf>
    <xf numFmtId="0" fontId="68" fillId="75" borderId="29" xfId="0" applyFont="1" applyFill="1" applyBorder="1" applyAlignment="1">
      <alignment horizontal="center"/>
    </xf>
    <xf numFmtId="0" fontId="68" fillId="75" borderId="0" xfId="0" applyFont="1" applyFill="1" applyAlignment="1">
      <alignment horizontal="center"/>
    </xf>
    <xf numFmtId="0" fontId="17" fillId="60" borderId="0" xfId="99" applyFont="1" applyFill="1" applyBorder="1" applyAlignment="1" applyProtection="1">
      <alignment horizontal="left" vertical="center"/>
    </xf>
    <xf numFmtId="0" fontId="101" fillId="60" borderId="0" xfId="99" applyFont="1" applyFill="1" applyBorder="1" applyAlignment="1" applyProtection="1">
      <alignment horizontal="center" vertical="center"/>
    </xf>
    <xf numFmtId="0" fontId="68" fillId="75" borderId="55" xfId="0" applyFont="1" applyFill="1" applyBorder="1" applyAlignment="1">
      <alignment horizontal="center" vertical="center"/>
    </xf>
    <xf numFmtId="0" fontId="68" fillId="75" borderId="0" xfId="0" applyFont="1" applyFill="1" applyBorder="1" applyAlignment="1">
      <alignment horizontal="center" vertical="center"/>
    </xf>
    <xf numFmtId="0" fontId="68" fillId="75" borderId="56" xfId="0" applyFont="1" applyFill="1" applyBorder="1" applyAlignment="1">
      <alignment horizontal="center" vertical="center"/>
    </xf>
    <xf numFmtId="0" fontId="68" fillId="60" borderId="0" xfId="0" applyFont="1" applyFill="1" applyBorder="1" applyAlignment="1">
      <alignment horizontal="center" vertical="center"/>
    </xf>
    <xf numFmtId="0" fontId="68" fillId="60" borderId="56" xfId="0" applyFont="1" applyFill="1" applyBorder="1" applyAlignment="1">
      <alignment horizontal="center" vertical="center"/>
    </xf>
    <xf numFmtId="0" fontId="68" fillId="60" borderId="0" xfId="0" applyFont="1" applyFill="1" applyBorder="1" applyAlignment="1">
      <alignment horizontal="center" vertical="center" wrapText="1"/>
    </xf>
    <xf numFmtId="0" fontId="68" fillId="75" borderId="60" xfId="0" applyFont="1" applyFill="1" applyBorder="1" applyAlignment="1">
      <alignment horizontal="center" vertical="center"/>
    </xf>
    <xf numFmtId="0" fontId="17" fillId="60" borderId="0" xfId="99" applyFont="1" applyFill="1" applyBorder="1" applyAlignment="1" applyProtection="1">
      <alignment horizontal="left" vertical="center"/>
    </xf>
    <xf numFmtId="0" fontId="22" fillId="0" borderId="19" xfId="99" applyFont="1" applyFill="1" applyBorder="1" applyAlignment="1" applyProtection="1">
      <alignment horizontal="right" vertical="center"/>
    </xf>
    <xf numFmtId="0" fontId="68" fillId="0" borderId="0" xfId="174" applyFont="1" applyFill="1" applyBorder="1" applyAlignment="1">
      <alignment horizontal="center" vertical="center"/>
    </xf>
    <xf numFmtId="3" fontId="8" fillId="0" borderId="0" xfId="173" applyNumberFormat="1" applyFont="1" applyFill="1" applyBorder="1" applyAlignment="1" applyProtection="1">
      <alignment horizontal="right" vertical="center" wrapText="1"/>
    </xf>
    <xf numFmtId="0" fontId="8" fillId="0" borderId="0" xfId="102" applyFont="1" applyFill="1" applyBorder="1"/>
    <xf numFmtId="0" fontId="8" fillId="0" borderId="0" xfId="175" quotePrefix="1" applyNumberFormat="1" applyFont="1" applyFill="1" applyBorder="1" applyAlignment="1" applyProtection="1">
      <alignment horizontal="left" vertical="center"/>
      <protection locked="0"/>
    </xf>
    <xf numFmtId="0" fontId="12" fillId="0" borderId="0" xfId="172" applyFont="1" applyFill="1" applyBorder="1"/>
    <xf numFmtId="10" fontId="8" fillId="0" borderId="63" xfId="103" applyNumberFormat="1" applyFont="1" applyFill="1" applyBorder="1" applyAlignment="1" applyProtection="1">
      <alignment horizontal="center" vertical="center" wrapText="1"/>
    </xf>
    <xf numFmtId="185" fontId="11" fillId="0" borderId="63" xfId="92" applyNumberFormat="1" applyFont="1" applyFill="1" applyBorder="1" applyAlignment="1" applyProtection="1">
      <alignment horizontal="right" vertical="center" indent="1"/>
      <protection locked="0"/>
    </xf>
    <xf numFmtId="0" fontId="94" fillId="75" borderId="0" xfId="0" applyFont="1" applyFill="1" applyAlignment="1">
      <alignment horizontal="center" vertical="center"/>
    </xf>
    <xf numFmtId="185" fontId="8" fillId="0" borderId="63" xfId="0" applyNumberFormat="1" applyFont="1" applyFill="1" applyBorder="1"/>
    <xf numFmtId="0" fontId="94" fillId="0" borderId="0" xfId="0" applyFont="1" applyFill="1" applyAlignment="1">
      <alignment horizontal="center" vertical="center"/>
    </xf>
    <xf numFmtId="0" fontId="68" fillId="0" borderId="0" xfId="103" applyNumberFormat="1" applyFont="1" applyFill="1" applyBorder="1" applyAlignment="1" applyProtection="1">
      <alignment horizontal="center" vertical="center" wrapText="1"/>
    </xf>
    <xf numFmtId="0" fontId="66" fillId="0" borderId="0" xfId="103" applyNumberFormat="1" applyFont="1" applyFill="1" applyBorder="1" applyAlignment="1" applyProtection="1">
      <alignment horizontal="center" vertical="center" wrapText="1"/>
    </xf>
    <xf numFmtId="0" fontId="94" fillId="0" borderId="0" xfId="103" applyNumberFormat="1" applyFont="1" applyFill="1" applyBorder="1" applyAlignment="1" applyProtection="1">
      <alignment horizontal="center" vertical="center" wrapText="1"/>
    </xf>
    <xf numFmtId="3" fontId="8" fillId="58" borderId="38" xfId="92" applyNumberFormat="1" applyFont="1" applyFill="1" applyBorder="1" applyAlignment="1" applyProtection="1">
      <alignment horizontal="center" vertical="center"/>
    </xf>
    <xf numFmtId="3" fontId="8" fillId="0" borderId="45" xfId="172" applyNumberFormat="1" applyFont="1" applyFill="1" applyBorder="1"/>
    <xf numFmtId="0" fontId="68" fillId="0" borderId="0" xfId="173" applyNumberFormat="1" applyFont="1" applyFill="1" applyBorder="1" applyAlignment="1" applyProtection="1">
      <alignment horizontal="center" vertical="center" wrapText="1"/>
    </xf>
    <xf numFmtId="0" fontId="68" fillId="75" borderId="0" xfId="416" applyFont="1" applyFill="1" applyAlignment="1">
      <alignment horizontal="center"/>
    </xf>
    <xf numFmtId="0" fontId="8" fillId="0" borderId="28" xfId="99" applyFont="1" applyFill="1" applyBorder="1" applyAlignment="1" applyProtection="1">
      <alignment horizontal="right" vertical="center"/>
    </xf>
    <xf numFmtId="0" fontId="64" fillId="0" borderId="0" xfId="416" applyFont="1" applyBorder="1"/>
    <xf numFmtId="0" fontId="68" fillId="75" borderId="0" xfId="416" applyFont="1" applyFill="1" applyBorder="1" applyAlignment="1">
      <alignment horizontal="center"/>
    </xf>
    <xf numFmtId="0" fontId="8" fillId="0" borderId="0" xfId="172" applyFont="1" applyFill="1" applyBorder="1" applyAlignment="1">
      <alignment horizontal="center"/>
    </xf>
    <xf numFmtId="0" fontId="8" fillId="0" borderId="0" xfId="172" applyFont="1" applyFill="1" applyBorder="1" applyAlignment="1">
      <alignment horizontal="left" indent="1"/>
    </xf>
    <xf numFmtId="3" fontId="8" fillId="0" borderId="0" xfId="172" applyNumberFormat="1" applyFont="1" applyBorder="1"/>
    <xf numFmtId="0" fontId="8" fillId="0" borderId="0" xfId="416" applyFont="1" applyBorder="1"/>
    <xf numFmtId="0" fontId="8" fillId="0" borderId="36" xfId="416" applyFont="1" applyBorder="1"/>
    <xf numFmtId="0" fontId="103" fillId="0" borderId="0" xfId="172" applyFont="1"/>
    <xf numFmtId="0" fontId="103" fillId="0" borderId="0" xfId="175" quotePrefix="1" applyNumberFormat="1" applyFont="1" applyFill="1" applyBorder="1" applyAlignment="1" applyProtection="1">
      <alignment horizontal="left" vertical="center"/>
      <protection locked="0"/>
    </xf>
    <xf numFmtId="0" fontId="8" fillId="0" borderId="63" xfId="173" applyNumberFormat="1" applyFont="1" applyFill="1" applyBorder="1" applyAlignment="1" applyProtection="1">
      <alignment horizontal="center" vertical="center" wrapText="1"/>
    </xf>
    <xf numFmtId="3" fontId="18" fillId="0" borderId="0" xfId="173" applyNumberFormat="1" applyFont="1" applyFill="1" applyBorder="1" applyAlignment="1" applyProtection="1">
      <alignment horizontal="center" vertical="center" wrapText="1"/>
    </xf>
    <xf numFmtId="0" fontId="8" fillId="42" borderId="28" xfId="175" applyNumberFormat="1" applyFont="1" applyFill="1" applyBorder="1" applyAlignment="1" applyProtection="1">
      <alignment horizontal="left" vertical="center" indent="1"/>
      <protection locked="0"/>
    </xf>
    <xf numFmtId="0" fontId="8" fillId="42" borderId="27" xfId="175" applyNumberFormat="1" applyFont="1" applyFill="1" applyBorder="1" applyAlignment="1" applyProtection="1">
      <alignment horizontal="left" vertical="center" indent="1"/>
      <protection locked="0"/>
    </xf>
    <xf numFmtId="186" fontId="8" fillId="42" borderId="28" xfId="92" quotePrefix="1" applyNumberFormat="1" applyFont="1" applyFill="1" applyBorder="1" applyAlignment="1" applyProtection="1">
      <alignment vertical="center"/>
      <protection locked="0"/>
    </xf>
    <xf numFmtId="3" fontId="8" fillId="78" borderId="27" xfId="546" applyNumberFormat="1" applyFont="1" applyFill="1" applyBorder="1" applyAlignment="1">
      <alignment horizontal="right" vertical="top" wrapText="1"/>
    </xf>
    <xf numFmtId="3" fontId="64" fillId="75" borderId="0" xfId="0" applyNumberFormat="1" applyFont="1" applyFill="1" applyBorder="1"/>
    <xf numFmtId="0" fontId="68" fillId="75" borderId="0" xfId="0" applyFont="1" applyFill="1" applyBorder="1"/>
    <xf numFmtId="0" fontId="64" fillId="60" borderId="0" xfId="103" applyNumberFormat="1" applyFont="1" applyFill="1" applyBorder="1" applyAlignment="1" applyProtection="1">
      <alignment horizontal="center" vertical="center" wrapText="1"/>
    </xf>
    <xf numFmtId="0" fontId="118" fillId="60" borderId="0" xfId="103" applyNumberFormat="1" applyFont="1" applyFill="1" applyBorder="1" applyAlignment="1" applyProtection="1">
      <alignment horizontal="center" vertical="center" wrapText="1"/>
    </xf>
    <xf numFmtId="0" fontId="64" fillId="0" borderId="0" xfId="103" applyNumberFormat="1" applyFont="1" applyFill="1" applyBorder="1" applyAlignment="1" applyProtection="1">
      <alignment horizontal="center" vertical="center" wrapText="1"/>
    </xf>
    <xf numFmtId="0" fontId="64" fillId="60" borderId="0" xfId="173" applyNumberFormat="1" applyFont="1" applyFill="1" applyBorder="1" applyAlignment="1" applyProtection="1">
      <alignment horizontal="center" vertical="center" wrapText="1"/>
    </xf>
    <xf numFmtId="0" fontId="94" fillId="0" borderId="0" xfId="0" applyFont="1" applyFill="1" applyBorder="1" applyAlignment="1">
      <alignment horizontal="center"/>
    </xf>
    <xf numFmtId="10" fontId="60" fillId="0" borderId="0" xfId="103" applyNumberFormat="1" applyFont="1" applyFill="1" applyBorder="1" applyAlignment="1" applyProtection="1">
      <alignment horizontal="center" vertical="center" wrapText="1"/>
    </xf>
    <xf numFmtId="0" fontId="94" fillId="0" borderId="0" xfId="0" applyFont="1" applyFill="1" applyBorder="1" applyAlignment="1"/>
    <xf numFmtId="181" fontId="11" fillId="0" borderId="63" xfId="92" quotePrefix="1" applyNumberFormat="1" applyFont="1" applyFill="1" applyBorder="1" applyAlignment="1" applyProtection="1">
      <alignment vertical="center"/>
      <protection locked="0"/>
    </xf>
    <xf numFmtId="10" fontId="60" fillId="78" borderId="28" xfId="103" applyNumberFormat="1" applyFont="1" applyFill="1" applyBorder="1" applyAlignment="1" applyProtection="1">
      <alignment horizontal="right" vertical="center" wrapText="1"/>
    </xf>
    <xf numFmtId="10" fontId="60" fillId="58" borderId="63" xfId="103" applyNumberFormat="1" applyFont="1" applyFill="1" applyBorder="1" applyAlignment="1" applyProtection="1">
      <alignment horizontal="right" vertical="center" wrapText="1"/>
    </xf>
    <xf numFmtId="10" fontId="60" fillId="78" borderId="63" xfId="103" applyNumberFormat="1" applyFont="1" applyFill="1" applyBorder="1" applyAlignment="1" applyProtection="1">
      <alignment horizontal="right" vertical="center" wrapText="1"/>
    </xf>
    <xf numFmtId="181" fontId="8" fillId="0" borderId="28" xfId="51" applyNumberFormat="1" applyFont="1" applyFill="1" applyBorder="1" applyAlignment="1" applyProtection="1">
      <alignment horizontal="right" vertical="center"/>
    </xf>
    <xf numFmtId="181" fontId="8" fillId="0" borderId="27" xfId="51" applyNumberFormat="1" applyFont="1" applyFill="1" applyBorder="1" applyAlignment="1" applyProtection="1">
      <alignment horizontal="right" vertical="center"/>
    </xf>
    <xf numFmtId="0" fontId="64" fillId="75" borderId="0" xfId="103" applyNumberFormat="1" applyFont="1" applyFill="1" applyBorder="1" applyAlignment="1" applyProtection="1">
      <alignment horizontal="center" vertical="center" wrapText="1"/>
    </xf>
    <xf numFmtId="181" fontId="8" fillId="78" borderId="28" xfId="92" quotePrefix="1" applyNumberFormat="1" applyFont="1" applyFill="1" applyBorder="1" applyAlignment="1" applyProtection="1">
      <alignment horizontal="left" vertical="center" indent="1"/>
      <protection locked="0"/>
    </xf>
    <xf numFmtId="181" fontId="8" fillId="0" borderId="63" xfId="92" quotePrefix="1" applyNumberFormat="1" applyFont="1" applyFill="1" applyBorder="1" applyAlignment="1" applyProtection="1">
      <alignment horizontal="left" vertical="center" indent="1"/>
      <protection locked="0"/>
    </xf>
    <xf numFmtId="0" fontId="118" fillId="0" borderId="0" xfId="103" applyNumberFormat="1" applyFont="1" applyFill="1" applyBorder="1" applyAlignment="1" applyProtection="1">
      <alignment horizontal="center" vertical="center" wrapText="1"/>
    </xf>
    <xf numFmtId="0" fontId="8" fillId="0" borderId="63" xfId="175" quotePrefix="1" applyNumberFormat="1" applyFont="1" applyFill="1" applyBorder="1" applyAlignment="1" applyProtection="1">
      <alignment horizontal="left" vertical="center" indent="1"/>
      <protection locked="0"/>
    </xf>
    <xf numFmtId="0" fontId="119" fillId="0" borderId="0" xfId="103" applyNumberFormat="1" applyFont="1" applyFill="1" applyBorder="1" applyAlignment="1" applyProtection="1">
      <alignment horizontal="center" vertical="center" wrapText="1"/>
    </xf>
    <xf numFmtId="0" fontId="119" fillId="60" borderId="0" xfId="173" applyNumberFormat="1" applyFont="1" applyFill="1" applyBorder="1" applyAlignment="1" applyProtection="1">
      <alignment horizontal="center" vertical="center" wrapText="1"/>
    </xf>
    <xf numFmtId="0" fontId="64" fillId="0" borderId="0" xfId="173" applyNumberFormat="1" applyFont="1" applyFill="1" applyBorder="1" applyAlignment="1" applyProtection="1">
      <alignment horizontal="center" vertical="center" wrapText="1"/>
    </xf>
    <xf numFmtId="0" fontId="118" fillId="60" borderId="0" xfId="103" quotePrefix="1" applyNumberFormat="1" applyFont="1" applyFill="1" applyBorder="1" applyAlignment="1" applyProtection="1">
      <alignment horizontal="center" vertical="center" wrapText="1"/>
    </xf>
    <xf numFmtId="167" fontId="8" fillId="78" borderId="27" xfId="92" quotePrefix="1" applyNumberFormat="1" applyFont="1" applyFill="1" applyBorder="1" applyAlignment="1" applyProtection="1">
      <alignment horizontal="right" vertical="center" indent="1"/>
      <protection locked="0"/>
    </xf>
    <xf numFmtId="3" fontId="8" fillId="0" borderId="0" xfId="175" applyNumberFormat="1" applyFont="1" applyFill="1" applyBorder="1" applyAlignment="1" applyProtection="1">
      <alignment horizontal="right" vertical="center"/>
      <protection locked="0"/>
    </xf>
    <xf numFmtId="10" fontId="8" fillId="0" borderId="0" xfId="0" applyNumberFormat="1" applyFont="1" applyFill="1" applyBorder="1" applyAlignment="1">
      <alignment horizontal="right"/>
    </xf>
    <xf numFmtId="0" fontId="119" fillId="60" borderId="0" xfId="1" applyFont="1" applyFill="1" applyBorder="1" applyAlignment="1">
      <alignment vertical="top" wrapText="1"/>
    </xf>
    <xf numFmtId="0" fontId="119" fillId="0" borderId="0" xfId="1" applyFont="1" applyFill="1" applyBorder="1" applyAlignment="1">
      <alignment vertical="top" wrapText="1"/>
    </xf>
    <xf numFmtId="179" fontId="8" fillId="0" borderId="27" xfId="51" applyNumberFormat="1" applyFont="1" applyFill="1" applyBorder="1" applyAlignment="1" applyProtection="1">
      <alignment horizontal="right" vertical="center"/>
    </xf>
    <xf numFmtId="10" fontId="8" fillId="78" borderId="0" xfId="1" applyNumberFormat="1" applyFont="1" applyFill="1" applyAlignment="1">
      <alignment vertical="top"/>
    </xf>
    <xf numFmtId="0" fontId="119" fillId="60" borderId="0" xfId="103" applyNumberFormat="1" applyFont="1" applyFill="1" applyBorder="1" applyAlignment="1" applyProtection="1">
      <alignment horizontal="center" vertical="center" wrapText="1"/>
    </xf>
    <xf numFmtId="0" fontId="89" fillId="0" borderId="0" xfId="103" applyNumberFormat="1" applyFont="1" applyFill="1" applyBorder="1" applyAlignment="1" applyProtection="1">
      <alignment horizontal="center" vertical="center" wrapText="1"/>
    </xf>
    <xf numFmtId="186" fontId="8" fillId="78" borderId="28" xfId="92" quotePrefix="1" applyNumberFormat="1" applyFont="1" applyFill="1" applyBorder="1" applyAlignment="1" applyProtection="1">
      <alignment vertical="center"/>
      <protection locked="0"/>
    </xf>
    <xf numFmtId="10" fontId="8" fillId="0" borderId="39" xfId="103" applyNumberFormat="1" applyFont="1" applyFill="1" applyBorder="1" applyAlignment="1" applyProtection="1">
      <alignment horizontal="center" vertical="center" wrapText="1"/>
    </xf>
    <xf numFmtId="10" fontId="60" fillId="69" borderId="63" xfId="103" applyNumberFormat="1" applyFont="1" applyFill="1" applyBorder="1" applyAlignment="1" applyProtection="1">
      <alignment horizontal="center" vertical="center" wrapText="1"/>
    </xf>
    <xf numFmtId="10" fontId="8" fillId="69" borderId="63" xfId="103" applyNumberFormat="1" applyFont="1" applyFill="1" applyBorder="1" applyAlignment="1" applyProtection="1">
      <alignment horizontal="center" vertical="center" wrapText="1"/>
    </xf>
    <xf numFmtId="0" fontId="18" fillId="0" borderId="0" xfId="102" applyFont="1" applyFill="1" applyBorder="1" applyAlignment="1">
      <alignment vertical="top"/>
    </xf>
    <xf numFmtId="0" fontId="8" fillId="0" borderId="63" xfId="102" applyFont="1" applyFill="1" applyBorder="1"/>
    <xf numFmtId="0" fontId="53" fillId="60" borderId="0" xfId="102" applyFont="1" applyFill="1" applyBorder="1" applyAlignment="1">
      <alignment vertical="top"/>
    </xf>
    <xf numFmtId="0" fontId="63" fillId="0" borderId="39" xfId="0" applyFont="1" applyFill="1" applyBorder="1"/>
    <xf numFmtId="0" fontId="94" fillId="0" borderId="0" xfId="0" applyFont="1" applyFill="1" applyBorder="1" applyAlignment="1">
      <alignment horizontal="center" vertical="center"/>
    </xf>
    <xf numFmtId="10" fontId="8" fillId="78" borderId="27" xfId="0" applyNumberFormat="1" applyFont="1" applyFill="1" applyBorder="1" applyAlignment="1">
      <alignment horizontal="right"/>
    </xf>
    <xf numFmtId="0" fontId="8" fillId="73" borderId="27" xfId="0" applyFont="1" applyFill="1" applyBorder="1" applyAlignment="1">
      <alignment horizontal="right"/>
    </xf>
    <xf numFmtId="167" fontId="8" fillId="69" borderId="28" xfId="0" applyNumberFormat="1" applyFont="1" applyFill="1" applyBorder="1"/>
    <xf numFmtId="167" fontId="8" fillId="73" borderId="27" xfId="0" applyNumberFormat="1" applyFont="1" applyFill="1" applyBorder="1"/>
    <xf numFmtId="167" fontId="8" fillId="42" borderId="28" xfId="92" applyNumberFormat="1" applyFont="1" applyFill="1" applyBorder="1" applyAlignment="1" applyProtection="1">
      <alignment horizontal="right" vertical="center" indent="1"/>
      <protection locked="0"/>
    </xf>
    <xf numFmtId="167" fontId="8" fillId="42" borderId="27" xfId="92" applyNumberFormat="1" applyFont="1" applyFill="1" applyBorder="1" applyAlignment="1" applyProtection="1">
      <alignment horizontal="right" vertical="center" indent="1"/>
      <protection locked="0"/>
    </xf>
    <xf numFmtId="167" fontId="8" fillId="73" borderId="28" xfId="0" applyNumberFormat="1" applyFont="1" applyFill="1" applyBorder="1"/>
    <xf numFmtId="0" fontId="63" fillId="0" borderId="36" xfId="0" applyFont="1" applyFill="1" applyBorder="1"/>
    <xf numFmtId="0" fontId="20" fillId="75" borderId="0" xfId="1" applyFont="1" applyFill="1" applyBorder="1"/>
    <xf numFmtId="0" fontId="8" fillId="73" borderId="27" xfId="0" quotePrefix="1" applyFont="1" applyFill="1" applyBorder="1"/>
    <xf numFmtId="3" fontId="8" fillId="0" borderId="27" xfId="92" applyNumberFormat="1" applyFont="1" applyFill="1" applyBorder="1" applyAlignment="1" applyProtection="1">
      <alignment horizontal="right" indent="1"/>
      <protection locked="0"/>
    </xf>
    <xf numFmtId="0" fontId="8" fillId="0" borderId="39" xfId="98" applyFont="1" applyFill="1" applyBorder="1"/>
    <xf numFmtId="3" fontId="8" fillId="69" borderId="31" xfId="92" applyNumberFormat="1" applyFont="1" applyFill="1" applyBorder="1" applyAlignment="1" applyProtection="1">
      <protection locked="0"/>
    </xf>
    <xf numFmtId="3" fontId="8" fillId="69" borderId="27" xfId="92" applyNumberFormat="1" applyFont="1" applyFill="1" applyBorder="1" applyAlignment="1" applyProtection="1">
      <protection locked="0"/>
    </xf>
    <xf numFmtId="173" fontId="8" fillId="0" borderId="27" xfId="0" applyNumberFormat="1" applyFont="1" applyFill="1" applyBorder="1"/>
    <xf numFmtId="3" fontId="8" fillId="0" borderId="27" xfId="55" applyNumberFormat="1" applyFont="1" applyFill="1" applyBorder="1"/>
    <xf numFmtId="0" fontId="8" fillId="0" borderId="18" xfId="0" applyFont="1" applyBorder="1"/>
    <xf numFmtId="3" fontId="8" fillId="78" borderId="27" xfId="98" applyNumberFormat="1" applyFont="1" applyFill="1" applyBorder="1"/>
    <xf numFmtId="10" fontId="12" fillId="74" borderId="27" xfId="99" applyNumberFormat="1" applyFont="1" applyFill="1" applyBorder="1" applyAlignment="1" applyProtection="1">
      <alignment vertical="center"/>
    </xf>
    <xf numFmtId="167" fontId="8" fillId="78" borderId="27" xfId="4" applyNumberFormat="1" applyFont="1" applyFill="1" applyBorder="1" applyProtection="1"/>
    <xf numFmtId="172" fontId="8" fillId="78" borderId="27" xfId="4" applyNumberFormat="1" applyFont="1" applyFill="1" applyBorder="1"/>
    <xf numFmtId="0" fontId="8" fillId="61" borderId="27" xfId="4" applyFont="1" applyFill="1" applyBorder="1"/>
    <xf numFmtId="0" fontId="8" fillId="0" borderId="27" xfId="4" applyFont="1" applyFill="1" applyBorder="1"/>
    <xf numFmtId="0" fontId="68" fillId="60" borderId="21" xfId="0" applyFont="1" applyFill="1" applyBorder="1" applyAlignment="1">
      <alignment vertical="top"/>
    </xf>
    <xf numFmtId="3" fontId="8" fillId="69" borderId="28" xfId="55" applyNumberFormat="1" applyFont="1" applyFill="1" applyBorder="1"/>
    <xf numFmtId="3" fontId="8" fillId="78" borderId="32" xfId="0" applyNumberFormat="1" applyFont="1" applyFill="1" applyBorder="1"/>
    <xf numFmtId="3" fontId="8" fillId="58" borderId="33" xfId="178" applyNumberFormat="1" applyFont="1" applyFill="1" applyBorder="1"/>
    <xf numFmtId="14" fontId="64" fillId="75" borderId="0" xfId="0" applyNumberFormat="1" applyFont="1" applyFill="1" applyBorder="1"/>
    <xf numFmtId="10" fontId="8" fillId="78" borderId="27" xfId="92" applyNumberFormat="1" applyFont="1" applyFill="1" applyBorder="1" applyAlignment="1" applyProtection="1">
      <alignment horizontal="right" indent="1"/>
      <protection locked="0"/>
    </xf>
    <xf numFmtId="0" fontId="12" fillId="57" borderId="27" xfId="0" applyFont="1" applyFill="1" applyBorder="1"/>
    <xf numFmtId="167" fontId="8" fillId="78" borderId="27" xfId="4" applyNumberFormat="1" applyFont="1" applyFill="1" applyBorder="1"/>
    <xf numFmtId="3" fontId="8" fillId="69" borderId="27" xfId="98" applyNumberFormat="1" applyFont="1" applyFill="1" applyBorder="1"/>
    <xf numFmtId="10" fontId="8" fillId="0" borderId="0" xfId="103" applyNumberFormat="1" applyFont="1" applyFill="1" applyBorder="1" applyAlignment="1" applyProtection="1">
      <alignment horizontal="center" vertical="center" wrapText="1"/>
    </xf>
    <xf numFmtId="0" fontId="64" fillId="75" borderId="0" xfId="0" applyFont="1" applyFill="1" applyAlignment="1">
      <alignment horizontal="center" vertical="center" wrapText="1"/>
    </xf>
    <xf numFmtId="0" fontId="12" fillId="0" borderId="0" xfId="0" applyFont="1" applyFill="1" applyBorder="1" applyAlignment="1">
      <alignment horizontal="left" wrapText="1"/>
    </xf>
    <xf numFmtId="3" fontId="8" fillId="78" borderId="27" xfId="0" applyNumberFormat="1" applyFont="1" applyFill="1" applyBorder="1" applyAlignment="1">
      <alignment wrapText="1"/>
    </xf>
    <xf numFmtId="167" fontId="8" fillId="74" borderId="27" xfId="0" applyNumberFormat="1" applyFont="1" applyFill="1" applyBorder="1"/>
    <xf numFmtId="0" fontId="17" fillId="60" borderId="0" xfId="99" applyFont="1" applyFill="1" applyBorder="1" applyAlignment="1" applyProtection="1">
      <alignment horizontal="left" vertical="center"/>
    </xf>
    <xf numFmtId="0" fontId="94" fillId="75" borderId="0" xfId="103" applyNumberFormat="1" applyFont="1" applyFill="1" applyBorder="1" applyAlignment="1" applyProtection="1">
      <alignment horizontal="center" vertical="center" wrapText="1"/>
    </xf>
    <xf numFmtId="0" fontId="64" fillId="75" borderId="0" xfId="416" applyFont="1" applyFill="1" applyBorder="1" applyAlignment="1">
      <alignment horizontal="center"/>
    </xf>
    <xf numFmtId="0" fontId="68" fillId="75" borderId="0" xfId="0" applyFont="1" applyFill="1" applyAlignment="1">
      <alignment wrapText="1"/>
    </xf>
    <xf numFmtId="0" fontId="113" fillId="75" borderId="0"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0" xfId="0" applyFont="1" applyFill="1" applyBorder="1" applyAlignment="1">
      <alignment horizontal="center"/>
    </xf>
    <xf numFmtId="0" fontId="0" fillId="75" borderId="0" xfId="0" applyFill="1"/>
    <xf numFmtId="0" fontId="113" fillId="60" borderId="0" xfId="173" applyNumberFormat="1" applyFont="1" applyFill="1" applyBorder="1" applyAlignment="1" applyProtection="1">
      <alignment horizontal="center" vertical="center" wrapText="1"/>
    </xf>
    <xf numFmtId="0" fontId="113" fillId="0" borderId="0" xfId="0" applyFont="1" applyFill="1" applyBorder="1" applyAlignment="1">
      <alignment horizontal="center"/>
    </xf>
    <xf numFmtId="0" fontId="113" fillId="75" borderId="0" xfId="0" applyFont="1" applyFill="1" applyBorder="1" applyAlignment="1">
      <alignment horizontal="center"/>
    </xf>
    <xf numFmtId="2" fontId="8" fillId="69" borderId="28" xfId="172" applyNumberFormat="1" applyFont="1" applyFill="1" applyBorder="1" applyAlignment="1">
      <alignment horizontal="right"/>
    </xf>
    <xf numFmtId="3" fontId="8" fillId="75" borderId="0" xfId="172" applyNumberFormat="1" applyFont="1" applyFill="1"/>
    <xf numFmtId="3" fontId="8" fillId="69" borderId="27" xfId="172" applyNumberFormat="1" applyFont="1" applyFill="1" applyBorder="1" applyAlignment="1">
      <alignment horizontal="right"/>
    </xf>
    <xf numFmtId="0" fontId="17" fillId="60" borderId="21" xfId="99" applyFont="1" applyFill="1" applyBorder="1" applyAlignment="1" applyProtection="1">
      <alignment vertical="center"/>
    </xf>
    <xf numFmtId="0" fontId="17" fillId="60" borderId="0" xfId="99" applyFont="1" applyFill="1" applyBorder="1" applyAlignment="1" applyProtection="1">
      <alignment vertical="center"/>
    </xf>
    <xf numFmtId="10" fontId="8" fillId="69" borderId="27" xfId="103" applyNumberFormat="1" applyFont="1" applyFill="1" applyBorder="1" applyAlignment="1" applyProtection="1">
      <alignment horizontal="right" vertical="center" wrapText="1"/>
    </xf>
    <xf numFmtId="10" fontId="8" fillId="78" borderId="27" xfId="103" applyNumberFormat="1" applyFont="1" applyFill="1" applyBorder="1" applyAlignment="1" applyProtection="1">
      <alignment horizontal="right" vertical="center" wrapText="1"/>
    </xf>
    <xf numFmtId="10" fontId="8" fillId="78" borderId="32" xfId="103" applyNumberFormat="1" applyFont="1" applyFill="1" applyBorder="1" applyAlignment="1" applyProtection="1">
      <alignment horizontal="right" vertical="center" wrapText="1"/>
    </xf>
    <xf numFmtId="0" fontId="8" fillId="0" borderId="0" xfId="99" applyFont="1" applyFill="1" applyBorder="1" applyAlignment="1" applyProtection="1">
      <alignment horizontal="left" vertical="center"/>
    </xf>
    <xf numFmtId="0" fontId="68" fillId="75" borderId="0" xfId="174" applyFont="1" applyFill="1" applyBorder="1" applyAlignment="1">
      <alignment horizontal="center" vertical="center"/>
    </xf>
    <xf numFmtId="0" fontId="102" fillId="0" borderId="0" xfId="0" applyFont="1" applyBorder="1" applyAlignment="1">
      <alignment horizontal="left" vertical="top" wrapText="1"/>
    </xf>
    <xf numFmtId="0" fontId="68" fillId="75" borderId="0" xfId="0" applyFont="1" applyFill="1" applyAlignment="1">
      <alignment horizontal="center" vertical="center"/>
    </xf>
    <xf numFmtId="10" fontId="8" fillId="0" borderId="27" xfId="0" applyNumberFormat="1" applyFont="1" applyFill="1" applyBorder="1"/>
    <xf numFmtId="0" fontId="8" fillId="0" borderId="0" xfId="99" applyFont="1" applyFill="1" applyBorder="1" applyAlignment="1" applyProtection="1">
      <alignment horizontal="center" vertical="center"/>
    </xf>
    <xf numFmtId="0" fontId="8" fillId="0" borderId="0" xfId="172" applyFont="1" applyFill="1" applyAlignment="1">
      <alignment vertical="center"/>
    </xf>
    <xf numFmtId="0" fontId="8" fillId="0" borderId="0" xfId="172" applyFont="1" applyFill="1" applyAlignment="1">
      <alignment horizontal="right" vertical="center"/>
    </xf>
    <xf numFmtId="3" fontId="8" fillId="69" borderId="28" xfId="172" applyNumberFormat="1" applyFont="1" applyFill="1" applyBorder="1" applyAlignment="1">
      <alignment horizontal="right"/>
    </xf>
    <xf numFmtId="0" fontId="101" fillId="60" borderId="0" xfId="99" applyFont="1" applyFill="1" applyBorder="1" applyAlignment="1" applyProtection="1">
      <alignment vertical="center"/>
    </xf>
    <xf numFmtId="0" fontId="13" fillId="0" borderId="0" xfId="99" applyFont="1" applyFill="1" applyBorder="1" applyAlignment="1" applyProtection="1">
      <alignment horizontal="left" vertical="center"/>
    </xf>
    <xf numFmtId="0" fontId="12" fillId="0" borderId="0" xfId="172" applyFont="1" applyFill="1" applyAlignment="1">
      <alignment horizontal="left" vertical="center"/>
    </xf>
    <xf numFmtId="0" fontId="68" fillId="75" borderId="21" xfId="104" applyFont="1" applyFill="1" applyBorder="1" applyAlignment="1" applyProtection="1">
      <alignment horizontal="left"/>
    </xf>
    <xf numFmtId="0" fontId="8" fillId="69" borderId="27" xfId="0" applyFont="1" applyFill="1" applyBorder="1"/>
    <xf numFmtId="187" fontId="11" fillId="42" borderId="28" xfId="92" applyNumberFormat="1" applyFont="1" applyFill="1" applyBorder="1" applyAlignment="1" applyProtection="1">
      <alignment horizontal="right" vertical="center" indent="1"/>
      <protection locked="0"/>
    </xf>
    <xf numFmtId="187" fontId="11" fillId="42" borderId="27" xfId="92" applyNumberFormat="1" applyFont="1" applyFill="1" applyBorder="1" applyAlignment="1" applyProtection="1">
      <alignment horizontal="right" vertical="center" indent="1"/>
      <protection locked="0"/>
    </xf>
    <xf numFmtId="188" fontId="8" fillId="42" borderId="28" xfId="175" quotePrefix="1" applyNumberFormat="1" applyFont="1" applyFill="1" applyBorder="1" applyAlignment="1" applyProtection="1">
      <alignment horizontal="right" vertical="center" indent="1"/>
      <protection locked="0"/>
    </xf>
    <xf numFmtId="189" fontId="8" fillId="42" borderId="28" xfId="175" applyNumberFormat="1" applyFont="1" applyFill="1" applyBorder="1" applyAlignment="1" applyProtection="1">
      <alignment horizontal="left" vertical="center" indent="1"/>
      <protection locked="0"/>
    </xf>
    <xf numFmtId="187" fontId="8" fillId="69" borderId="28" xfId="0" applyNumberFormat="1" applyFont="1" applyFill="1" applyBorder="1"/>
    <xf numFmtId="187" fontId="11" fillId="42" borderId="28" xfId="92" quotePrefix="1" applyNumberFormat="1" applyFont="1" applyFill="1" applyBorder="1" applyAlignment="1" applyProtection="1">
      <alignment vertical="center"/>
      <protection locked="0"/>
    </xf>
    <xf numFmtId="0" fontId="8" fillId="0" borderId="27" xfId="103" applyNumberFormat="1" applyFont="1" applyFill="1" applyBorder="1" applyAlignment="1" applyProtection="1">
      <alignment horizontal="right" vertical="center" wrapText="1"/>
    </xf>
    <xf numFmtId="10" fontId="63" fillId="73" borderId="27" xfId="173" applyNumberFormat="1" applyFont="1" applyFill="1" applyBorder="1" applyAlignment="1" applyProtection="1">
      <alignment horizontal="right" vertical="center" wrapText="1"/>
    </xf>
    <xf numFmtId="10" fontId="63" fillId="73" borderId="27" xfId="173" applyNumberFormat="1" applyFont="1" applyFill="1" applyBorder="1" applyAlignment="1" applyProtection="1">
      <alignment horizontal="center" vertical="center" wrapText="1"/>
    </xf>
    <xf numFmtId="0" fontId="108" fillId="73" borderId="27" xfId="103" applyNumberFormat="1" applyFont="1" applyFill="1" applyBorder="1" applyAlignment="1" applyProtection="1">
      <alignment horizontal="center" vertical="center" wrapText="1"/>
    </xf>
    <xf numFmtId="10" fontId="8" fillId="73" borderId="27" xfId="173" applyNumberFormat="1" applyFont="1" applyFill="1" applyBorder="1" applyAlignment="1" applyProtection="1">
      <alignment horizontal="right" vertical="center" wrapText="1"/>
    </xf>
    <xf numFmtId="10" fontId="8" fillId="58" borderId="27" xfId="103" applyNumberFormat="1" applyFont="1" applyFill="1" applyBorder="1" applyAlignment="1" applyProtection="1">
      <alignment horizontal="right" vertical="center" wrapText="1"/>
    </xf>
    <xf numFmtId="10" fontId="8" fillId="78" borderId="27" xfId="173" applyNumberFormat="1" applyFont="1" applyFill="1" applyBorder="1" applyAlignment="1" applyProtection="1">
      <alignment horizontal="right" vertical="center" wrapText="1"/>
    </xf>
    <xf numFmtId="10" fontId="8" fillId="73" borderId="27" xfId="103" applyNumberFormat="1" applyFont="1" applyFill="1" applyBorder="1" applyAlignment="1" applyProtection="1">
      <alignment horizontal="right" vertical="center" wrapText="1"/>
    </xf>
    <xf numFmtId="2" fontId="0" fillId="69" borderId="28" xfId="0" applyNumberFormat="1" applyFill="1" applyBorder="1"/>
    <xf numFmtId="0" fontId="19" fillId="60" borderId="0" xfId="103" applyNumberFormat="1" applyFont="1" applyFill="1" applyBorder="1" applyAlignment="1" applyProtection="1">
      <alignment horizontal="center" vertical="center" wrapText="1"/>
    </xf>
    <xf numFmtId="3" fontId="8" fillId="69" borderId="0" xfId="103" applyNumberFormat="1" applyFont="1" applyFill="1" applyBorder="1" applyAlignment="1" applyProtection="1">
      <alignment horizontal="right" vertical="center"/>
    </xf>
    <xf numFmtId="3" fontId="8" fillId="0" borderId="39" xfId="103" applyNumberFormat="1" applyFont="1" applyFill="1" applyBorder="1" applyAlignment="1" applyProtection="1">
      <alignment horizontal="right" vertical="center"/>
    </xf>
    <xf numFmtId="0" fontId="64" fillId="60" borderId="27" xfId="173" applyNumberFormat="1" applyFont="1" applyFill="1" applyBorder="1" applyAlignment="1" applyProtection="1">
      <alignment horizontal="center" vertical="center" wrapText="1"/>
    </xf>
    <xf numFmtId="181" fontId="8" fillId="69" borderId="27" xfId="0" applyNumberFormat="1" applyFont="1" applyFill="1" applyBorder="1"/>
    <xf numFmtId="0" fontId="8" fillId="0" borderId="0" xfId="98" applyFont="1" applyFill="1" applyBorder="1"/>
    <xf numFmtId="3" fontId="8" fillId="0" borderId="27" xfId="92" applyNumberFormat="1" applyFont="1" applyFill="1" applyBorder="1" applyAlignment="1" applyProtection="1">
      <protection locked="0"/>
    </xf>
    <xf numFmtId="3" fontId="8" fillId="0" borderId="0" xfId="92" applyNumberFormat="1" applyFont="1" applyFill="1" applyBorder="1" applyAlignment="1" applyProtection="1">
      <alignment horizontal="right" indent="1"/>
      <protection locked="0"/>
    </xf>
    <xf numFmtId="3" fontId="8" fillId="0" borderId="0" xfId="92" applyNumberFormat="1" applyFont="1" applyFill="1" applyBorder="1" applyAlignment="1" applyProtection="1">
      <protection locked="0"/>
    </xf>
    <xf numFmtId="10" fontId="8" fillId="74" borderId="27" xfId="0" applyNumberFormat="1" applyFont="1" applyFill="1" applyBorder="1"/>
    <xf numFmtId="0" fontId="17" fillId="60" borderId="0" xfId="99" applyFont="1" applyFill="1" applyBorder="1" applyAlignment="1" applyProtection="1">
      <alignment horizontal="left" vertical="center"/>
    </xf>
    <xf numFmtId="0" fontId="68" fillId="75" borderId="0" xfId="174" applyFont="1" applyFill="1" applyAlignment="1">
      <alignment horizontal="center" vertical="center"/>
    </xf>
    <xf numFmtId="0" fontId="68" fillId="75" borderId="0" xfId="174" applyFont="1" applyFill="1" applyAlignment="1">
      <alignment vertical="center"/>
    </xf>
    <xf numFmtId="3" fontId="0" fillId="0" borderId="0" xfId="0" applyNumberFormat="1" applyFill="1"/>
    <xf numFmtId="0" fontId="103" fillId="0" borderId="0" xfId="0" applyFont="1" applyFill="1"/>
    <xf numFmtId="49" fontId="8" fillId="78" borderId="27" xfId="175" quotePrefix="1" applyNumberFormat="1" applyFont="1" applyFill="1" applyBorder="1" applyAlignment="1" applyProtection="1">
      <alignment horizontal="left" vertical="center"/>
      <protection locked="0"/>
    </xf>
    <xf numFmtId="0" fontId="22" fillId="0" borderId="19" xfId="99" applyFont="1" applyFill="1" applyBorder="1" applyAlignment="1" applyProtection="1">
      <alignment horizontal="right" vertical="center"/>
    </xf>
    <xf numFmtId="0" fontId="8" fillId="0" borderId="21" xfId="520" applyBorder="1"/>
    <xf numFmtId="0" fontId="8" fillId="0" borderId="0" xfId="520" applyBorder="1"/>
    <xf numFmtId="0" fontId="8" fillId="0" borderId="0" xfId="520" applyFont="1" applyBorder="1"/>
    <xf numFmtId="0" fontId="8" fillId="0" borderId="0" xfId="520" applyFont="1" applyAlignment="1">
      <alignment horizontal="center" vertical="center"/>
    </xf>
    <xf numFmtId="0" fontId="8" fillId="0" borderId="0" xfId="520" applyFont="1"/>
    <xf numFmtId="0" fontId="8" fillId="0" borderId="0" xfId="520" applyFont="1" applyFill="1"/>
    <xf numFmtId="0" fontId="8" fillId="57" borderId="21" xfId="520" applyFont="1" applyFill="1" applyBorder="1"/>
    <xf numFmtId="10" fontId="8" fillId="58" borderId="27" xfId="520" applyNumberFormat="1" applyFont="1" applyFill="1" applyBorder="1"/>
    <xf numFmtId="0" fontId="8" fillId="57" borderId="0" xfId="520" applyFont="1" applyFill="1" applyBorder="1"/>
    <xf numFmtId="0" fontId="63" fillId="57" borderId="0" xfId="520" applyFont="1" applyFill="1" applyBorder="1"/>
    <xf numFmtId="0" fontId="8" fillId="57" borderId="0" xfId="520" applyFont="1" applyFill="1" applyBorder="1" applyAlignment="1">
      <alignment horizontal="center" vertical="center"/>
    </xf>
    <xf numFmtId="0" fontId="8" fillId="0" borderId="21" xfId="1376" applyFont="1" applyFill="1" applyBorder="1" applyAlignment="1" applyProtection="1">
      <alignment horizontal="left"/>
    </xf>
    <xf numFmtId="0" fontId="8" fillId="0" borderId="0" xfId="520" applyFont="1" applyFill="1" applyAlignment="1">
      <alignment horizontal="center" vertical="center"/>
    </xf>
    <xf numFmtId="0" fontId="8" fillId="57" borderId="27" xfId="520" applyFont="1" applyFill="1" applyBorder="1"/>
    <xf numFmtId="173" fontId="8" fillId="0" borderId="0" xfId="520" applyNumberFormat="1" applyFont="1" applyFill="1" applyBorder="1"/>
    <xf numFmtId="0" fontId="8" fillId="0" borderId="0" xfId="520" applyFont="1" applyFill="1" applyBorder="1"/>
    <xf numFmtId="3" fontId="8" fillId="0" borderId="0" xfId="520" applyNumberFormat="1" applyFont="1" applyFill="1" applyBorder="1"/>
    <xf numFmtId="3" fontId="8" fillId="0" borderId="0" xfId="520" applyNumberFormat="1" applyFont="1" applyFill="1" applyBorder="1" applyAlignment="1">
      <alignment horizontal="right" vertical="top"/>
    </xf>
    <xf numFmtId="0" fontId="63" fillId="0" borderId="0" xfId="520" applyFont="1" applyFill="1" applyBorder="1"/>
    <xf numFmtId="0" fontId="110" fillId="61" borderId="45" xfId="520" applyFont="1" applyFill="1" applyBorder="1"/>
    <xf numFmtId="167" fontId="8" fillId="0" borderId="0" xfId="520" applyNumberFormat="1" applyFont="1" applyFill="1"/>
    <xf numFmtId="167" fontId="8" fillId="0" borderId="0" xfId="520" applyNumberFormat="1" applyFont="1"/>
    <xf numFmtId="10" fontId="8" fillId="0" borderId="0" xfId="520" applyNumberFormat="1" applyFont="1" applyBorder="1"/>
    <xf numFmtId="0" fontId="68" fillId="60" borderId="0" xfId="520" applyFont="1" applyFill="1" applyBorder="1" applyAlignment="1">
      <alignment horizontal="center" vertical="center"/>
    </xf>
    <xf numFmtId="0" fontId="68" fillId="75" borderId="0" xfId="520" applyFont="1" applyFill="1" applyBorder="1" applyAlignment="1">
      <alignment horizontal="center" vertical="center"/>
    </xf>
    <xf numFmtId="0" fontId="68" fillId="75" borderId="0" xfId="520" applyFont="1" applyFill="1" applyAlignment="1">
      <alignment horizontal="center" vertical="center"/>
    </xf>
    <xf numFmtId="0" fontId="68" fillId="75" borderId="0" xfId="520" applyFont="1" applyFill="1"/>
    <xf numFmtId="3" fontId="8" fillId="0" borderId="0" xfId="520" applyNumberFormat="1" applyFont="1" applyFill="1"/>
    <xf numFmtId="2" fontId="8" fillId="0" borderId="0" xfId="520" applyNumberFormat="1" applyFont="1" applyFill="1" applyBorder="1"/>
    <xf numFmtId="2" fontId="8" fillId="0" borderId="0" xfId="520" applyNumberFormat="1" applyFont="1" applyFill="1" applyBorder="1" applyAlignment="1">
      <alignment horizontal="right" vertical="top"/>
    </xf>
    <xf numFmtId="0" fontId="68" fillId="75" borderId="0" xfId="520" applyFont="1" applyFill="1" applyBorder="1" applyAlignment="1">
      <alignment horizontal="left" vertical="center"/>
    </xf>
    <xf numFmtId="0" fontId="64" fillId="75" borderId="0" xfId="520" applyFont="1" applyFill="1" applyBorder="1"/>
    <xf numFmtId="14" fontId="64" fillId="75" borderId="0" xfId="520" applyNumberFormat="1" applyFont="1" applyFill="1" applyBorder="1"/>
    <xf numFmtId="3" fontId="64" fillId="75" borderId="0" xfId="520" applyNumberFormat="1" applyFont="1" applyFill="1" applyBorder="1"/>
    <xf numFmtId="0" fontId="64" fillId="75" borderId="0" xfId="520" applyFont="1" applyFill="1"/>
    <xf numFmtId="0" fontId="68" fillId="60" borderId="0" xfId="520" applyFont="1" applyFill="1" applyBorder="1" applyAlignment="1">
      <alignment horizontal="center"/>
    </xf>
    <xf numFmtId="0" fontId="68" fillId="0" borderId="0" xfId="520" applyFont="1" applyFill="1" applyBorder="1" applyAlignment="1">
      <alignment horizontal="center" vertical="center"/>
    </xf>
    <xf numFmtId="0" fontId="65" fillId="0" borderId="0" xfId="520" applyFont="1" applyFill="1" applyBorder="1" applyAlignment="1">
      <alignment horizontal="center" vertical="center"/>
    </xf>
    <xf numFmtId="0" fontId="68" fillId="60" borderId="0" xfId="520" applyFont="1" applyFill="1" applyBorder="1"/>
    <xf numFmtId="0" fontId="8" fillId="0" borderId="21" xfId="520" applyFont="1" applyBorder="1"/>
    <xf numFmtId="0" fontId="8" fillId="57" borderId="0" xfId="520" applyFont="1" applyFill="1" applyBorder="1" applyAlignment="1">
      <alignment horizontal="center"/>
    </xf>
    <xf numFmtId="173" fontId="8" fillId="57" borderId="0" xfId="520" applyNumberFormat="1" applyFont="1" applyFill="1" applyBorder="1" applyAlignment="1">
      <alignment horizontal="center"/>
    </xf>
    <xf numFmtId="0" fontId="63" fillId="57" borderId="0" xfId="520" applyFont="1" applyFill="1" applyBorder="1" applyAlignment="1">
      <alignment horizontal="center"/>
    </xf>
    <xf numFmtId="173" fontId="8" fillId="0" borderId="0" xfId="520" applyNumberFormat="1" applyFont="1" applyBorder="1"/>
    <xf numFmtId="3" fontId="8" fillId="78" borderId="27" xfId="520" applyNumberFormat="1" applyFont="1" applyFill="1" applyBorder="1" applyAlignment="1">
      <alignment horizontal="center"/>
    </xf>
    <xf numFmtId="3" fontId="8" fillId="0" borderId="0" xfId="520" applyNumberFormat="1" applyFont="1" applyBorder="1"/>
    <xf numFmtId="0" fontId="12" fillId="0" borderId="0" xfId="520" applyFont="1" applyFill="1"/>
    <xf numFmtId="0" fontId="18" fillId="61" borderId="0" xfId="520" applyFont="1" applyFill="1" applyBorder="1"/>
    <xf numFmtId="0" fontId="8" fillId="61" borderId="27" xfId="520" applyFont="1" applyFill="1" applyBorder="1"/>
    <xf numFmtId="0" fontId="8" fillId="60" borderId="0" xfId="520" applyFont="1" applyFill="1" applyBorder="1"/>
    <xf numFmtId="0" fontId="18" fillId="60" borderId="21" xfId="520" applyFont="1" applyFill="1" applyBorder="1"/>
    <xf numFmtId="0" fontId="18" fillId="60" borderId="0" xfId="520" applyFont="1" applyFill="1" applyBorder="1"/>
    <xf numFmtId="0" fontId="8" fillId="57" borderId="26" xfId="520" applyFont="1" applyFill="1" applyBorder="1"/>
    <xf numFmtId="0" fontId="8" fillId="0" borderId="26" xfId="520" applyFont="1" applyFill="1" applyBorder="1"/>
    <xf numFmtId="0" fontId="8" fillId="0" borderId="0" xfId="520" applyFill="1"/>
    <xf numFmtId="0" fontId="8" fillId="0" borderId="0" xfId="520"/>
    <xf numFmtId="0" fontId="8" fillId="0" borderId="0" xfId="520" applyAlignment="1">
      <alignment horizontal="center" vertical="center"/>
    </xf>
    <xf numFmtId="172" fontId="8" fillId="0" borderId="0" xfId="520" applyNumberFormat="1" applyFont="1" applyFill="1" applyBorder="1"/>
    <xf numFmtId="0" fontId="110" fillId="0" borderId="0" xfId="520" applyFont="1" applyFill="1" applyBorder="1"/>
    <xf numFmtId="173" fontId="110" fillId="0" borderId="0" xfId="520" applyNumberFormat="1" applyFont="1" applyFill="1" applyBorder="1"/>
    <xf numFmtId="173" fontId="111" fillId="0" borderId="0" xfId="520" applyNumberFormat="1" applyFont="1" applyFill="1" applyBorder="1"/>
    <xf numFmtId="3" fontId="111" fillId="0" borderId="0" xfId="520" applyNumberFormat="1" applyFont="1" applyFill="1" applyBorder="1"/>
    <xf numFmtId="172" fontId="111" fillId="0" borderId="0" xfId="520" applyNumberFormat="1" applyFont="1" applyFill="1" applyBorder="1"/>
    <xf numFmtId="0" fontId="17" fillId="61" borderId="0" xfId="99" applyFont="1" applyFill="1" applyBorder="1" applyAlignment="1" applyProtection="1">
      <alignment vertical="center"/>
    </xf>
    <xf numFmtId="0" fontId="22" fillId="61" borderId="0" xfId="99" applyFont="1" applyFill="1" applyBorder="1" applyAlignment="1" applyProtection="1">
      <alignment vertical="center"/>
    </xf>
    <xf numFmtId="0" fontId="22" fillId="61" borderId="0" xfId="99" applyFont="1" applyFill="1" applyBorder="1" applyAlignment="1" applyProtection="1">
      <alignment horizontal="right" vertical="center"/>
    </xf>
    <xf numFmtId="0" fontId="62" fillId="61" borderId="0" xfId="99" applyFont="1" applyFill="1" applyBorder="1" applyAlignment="1" applyProtection="1">
      <alignment vertical="center"/>
    </xf>
    <xf numFmtId="0" fontId="18" fillId="75" borderId="21" xfId="178" applyFont="1" applyFill="1" applyBorder="1"/>
    <xf numFmtId="0" fontId="8" fillId="61" borderId="0" xfId="99" applyFont="1" applyFill="1" applyBorder="1" applyAlignment="1" applyProtection="1">
      <alignment vertical="center"/>
    </xf>
    <xf numFmtId="0" fontId="12" fillId="61" borderId="0" xfId="99" applyFont="1" applyFill="1" applyBorder="1" applyAlignment="1" applyProtection="1">
      <alignment vertical="center"/>
    </xf>
    <xf numFmtId="0" fontId="102" fillId="61" borderId="0" xfId="99" applyFont="1" applyFill="1" applyBorder="1" applyAlignment="1" applyProtection="1">
      <alignment vertical="center"/>
    </xf>
    <xf numFmtId="0" fontId="102" fillId="61" borderId="0" xfId="99" applyFont="1" applyFill="1" applyBorder="1" applyAlignment="1" applyProtection="1">
      <alignment horizontal="right" vertical="center"/>
    </xf>
    <xf numFmtId="0" fontId="68" fillId="75" borderId="0" xfId="178" applyFont="1" applyFill="1" applyBorder="1" applyAlignment="1">
      <alignment horizontal="right"/>
    </xf>
    <xf numFmtId="0" fontId="136" fillId="0" borderId="0" xfId="2408" applyFont="1"/>
    <xf numFmtId="0" fontId="8" fillId="0" borderId="21" xfId="411" applyFont="1" applyBorder="1" applyAlignment="1">
      <alignment horizontal="left"/>
    </xf>
    <xf numFmtId="174" fontId="8" fillId="58" borderId="27" xfId="4" applyNumberFormat="1" applyFont="1" applyFill="1" applyBorder="1"/>
    <xf numFmtId="10" fontId="8" fillId="129" borderId="27" xfId="4" applyNumberFormat="1" applyFont="1" applyFill="1" applyBorder="1"/>
    <xf numFmtId="0" fontId="4" fillId="0" borderId="0" xfId="2408"/>
    <xf numFmtId="0" fontId="86" fillId="75" borderId="0" xfId="178" applyFont="1" applyFill="1" applyBorder="1" applyAlignment="1">
      <alignment vertical="center"/>
    </xf>
    <xf numFmtId="0" fontId="86" fillId="75" borderId="0" xfId="178" applyFont="1" applyFill="1" applyBorder="1" applyAlignment="1">
      <alignment horizontal="center" vertical="center"/>
    </xf>
    <xf numFmtId="0" fontId="117" fillId="61" borderId="0" xfId="178" applyFont="1" applyFill="1" applyBorder="1" applyAlignment="1">
      <alignment horizontal="center" vertical="center"/>
    </xf>
    <xf numFmtId="0" fontId="143" fillId="61" borderId="0" xfId="178" applyFont="1" applyFill="1" applyBorder="1" applyAlignment="1">
      <alignment horizontal="center" vertical="center"/>
    </xf>
    <xf numFmtId="0" fontId="117" fillId="0" borderId="0" xfId="520" applyFont="1" applyAlignment="1">
      <alignment vertical="center"/>
    </xf>
    <xf numFmtId="0" fontId="144" fillId="75" borderId="0" xfId="178" applyFont="1" applyFill="1" applyBorder="1" applyAlignment="1">
      <alignment vertical="center"/>
    </xf>
    <xf numFmtId="0" fontId="145" fillId="75" borderId="0" xfId="178" applyFont="1" applyFill="1" applyBorder="1" applyAlignment="1">
      <alignment vertical="center"/>
    </xf>
    <xf numFmtId="0" fontId="145" fillId="75" borderId="0" xfId="178" applyFont="1" applyFill="1" applyBorder="1" applyAlignment="1">
      <alignment horizontal="center" vertical="center"/>
    </xf>
    <xf numFmtId="0" fontId="146" fillId="61" borderId="0" xfId="178" applyFont="1" applyFill="1" applyBorder="1" applyAlignment="1">
      <alignment horizontal="center" vertical="center"/>
    </xf>
    <xf numFmtId="0" fontId="147" fillId="61" borderId="0" xfId="178" applyFont="1" applyFill="1" applyBorder="1" applyAlignment="1">
      <alignment horizontal="center" vertical="center"/>
    </xf>
    <xf numFmtId="0" fontId="146" fillId="0" borderId="0" xfId="520" applyFont="1" applyAlignment="1">
      <alignment vertical="center"/>
    </xf>
    <xf numFmtId="0" fontId="68" fillId="75" borderId="0" xfId="546" applyFont="1" applyFill="1" applyBorder="1" applyAlignment="1">
      <alignment horizontal="center" vertical="top" wrapText="1"/>
    </xf>
    <xf numFmtId="0" fontId="12" fillId="61" borderId="45" xfId="520" applyFont="1" applyFill="1" applyBorder="1"/>
    <xf numFmtId="3" fontId="12" fillId="61" borderId="45" xfId="520" applyNumberFormat="1" applyFont="1" applyFill="1" applyBorder="1"/>
    <xf numFmtId="0" fontId="68" fillId="75" borderId="0" xfId="546" applyFont="1" applyFill="1" applyBorder="1" applyAlignment="1">
      <alignment horizontal="left" vertical="top" wrapText="1"/>
    </xf>
    <xf numFmtId="3" fontId="8" fillId="0" borderId="0" xfId="520" applyNumberFormat="1"/>
    <xf numFmtId="0" fontId="19" fillId="0" borderId="21" xfId="546" applyFont="1" applyFill="1" applyBorder="1" applyAlignment="1">
      <alignment vertical="top"/>
    </xf>
    <xf numFmtId="0" fontId="19" fillId="0" borderId="0" xfId="546" applyFont="1" applyFill="1" applyBorder="1" applyAlignment="1">
      <alignment vertical="top"/>
    </xf>
    <xf numFmtId="0" fontId="148" fillId="75" borderId="18" xfId="546" applyFont="1" applyFill="1" applyBorder="1" applyAlignment="1">
      <alignment vertical="top"/>
    </xf>
    <xf numFmtId="0" fontId="18" fillId="75" borderId="19" xfId="546" applyFont="1" applyFill="1" applyBorder="1" applyAlignment="1">
      <alignment horizontal="center" vertical="top" wrapText="1"/>
    </xf>
    <xf numFmtId="0" fontId="18" fillId="75" borderId="19" xfId="546" applyFont="1" applyFill="1" applyBorder="1" applyAlignment="1">
      <alignment horizontal="center" vertical="center" wrapText="1"/>
    </xf>
    <xf numFmtId="0" fontId="18" fillId="75" borderId="18" xfId="546" applyFont="1" applyFill="1" applyBorder="1" applyAlignment="1">
      <alignment vertical="top"/>
    </xf>
    <xf numFmtId="0" fontId="149" fillId="0" borderId="0" xfId="546" applyFont="1" applyFill="1" applyBorder="1" applyAlignment="1">
      <alignment vertical="top"/>
    </xf>
    <xf numFmtId="0" fontId="8" fillId="0" borderId="0" xfId="546" applyFont="1" applyFill="1" applyBorder="1" applyAlignment="1">
      <alignment horizontal="center" vertical="top" wrapText="1"/>
    </xf>
    <xf numFmtId="0" fontId="12" fillId="0" borderId="21" xfId="411" applyFont="1" applyBorder="1" applyAlignment="1">
      <alignment horizontal="left"/>
    </xf>
    <xf numFmtId="0" fontId="23" fillId="0" borderId="0" xfId="178" applyFont="1" applyBorder="1" applyAlignment="1">
      <alignment horizontal="center"/>
    </xf>
    <xf numFmtId="0" fontId="23" fillId="0" borderId="0" xfId="178" applyFont="1" applyFill="1" applyBorder="1" applyAlignment="1">
      <alignment horizontal="center"/>
    </xf>
    <xf numFmtId="0" fontId="12" fillId="0" borderId="0" xfId="411" applyFont="1" applyBorder="1" applyAlignment="1">
      <alignment horizontal="left" indent="1"/>
    </xf>
    <xf numFmtId="0" fontId="8" fillId="0" borderId="0" xfId="411" applyFont="1" applyBorder="1" applyAlignment="1">
      <alignment horizontal="left"/>
    </xf>
    <xf numFmtId="3" fontId="8" fillId="42" borderId="27" xfId="351" applyNumberFormat="1" applyFont="1" applyFill="1" applyBorder="1"/>
    <xf numFmtId="10" fontId="12" fillId="129" borderId="27" xfId="4" applyNumberFormat="1" applyFont="1" applyFill="1" applyBorder="1"/>
    <xf numFmtId="10" fontId="12" fillId="59" borderId="27" xfId="351" applyNumberFormat="1" applyFont="1" applyFill="1" applyBorder="1"/>
    <xf numFmtId="0" fontId="12" fillId="0" borderId="21" xfId="4" applyFont="1" applyFill="1" applyBorder="1" applyAlignment="1">
      <alignment horizontal="right"/>
    </xf>
    <xf numFmtId="0" fontId="68" fillId="75" borderId="0" xfId="520" applyFont="1" applyFill="1" applyAlignment="1">
      <alignment horizontal="left"/>
    </xf>
    <xf numFmtId="0" fontId="68" fillId="75" borderId="0" xfId="520" applyFont="1" applyFill="1" applyAlignment="1">
      <alignment horizontal="right"/>
    </xf>
    <xf numFmtId="0" fontId="68" fillId="75" borderId="0" xfId="178" applyFont="1" applyFill="1" applyBorder="1" applyAlignment="1">
      <alignment horizontal="left"/>
    </xf>
    <xf numFmtId="0" fontId="68" fillId="75" borderId="0" xfId="520" applyFont="1" applyFill="1" applyAlignment="1">
      <alignment horizontal="right" vertical="center"/>
    </xf>
    <xf numFmtId="0" fontId="68" fillId="60" borderId="0" xfId="520" applyFont="1" applyFill="1" applyBorder="1" applyAlignment="1">
      <alignment horizontal="right" vertical="center"/>
    </xf>
    <xf numFmtId="0" fontId="68" fillId="60" borderId="0" xfId="520" applyFont="1" applyFill="1" applyBorder="1" applyAlignment="1">
      <alignment horizontal="right"/>
    </xf>
    <xf numFmtId="3" fontId="8" fillId="57" borderId="0" xfId="520" applyNumberFormat="1" applyFont="1" applyFill="1" applyBorder="1" applyAlignment="1">
      <alignment horizontal="center"/>
    </xf>
    <xf numFmtId="3" fontId="12" fillId="0" borderId="0" xfId="520" applyNumberFormat="1" applyFont="1" applyFill="1" applyBorder="1"/>
    <xf numFmtId="173" fontId="8" fillId="0" borderId="0" xfId="51" applyNumberFormat="1" applyFont="1" applyFill="1" applyBorder="1"/>
    <xf numFmtId="3" fontId="8" fillId="78" borderId="27" xfId="520" applyNumberFormat="1" applyFont="1" applyFill="1" applyBorder="1" applyAlignment="1">
      <alignment horizontal="left"/>
    </xf>
    <xf numFmtId="173" fontId="12" fillId="74" borderId="27" xfId="51" applyNumberFormat="1" applyFont="1" applyFill="1" applyBorder="1"/>
    <xf numFmtId="173" fontId="63" fillId="0" borderId="0" xfId="51" applyNumberFormat="1" applyFont="1"/>
    <xf numFmtId="173" fontId="102" fillId="0" borderId="0" xfId="51" applyNumberFormat="1" applyFont="1"/>
    <xf numFmtId="173" fontId="102" fillId="0" borderId="0" xfId="51" applyNumberFormat="1" applyFont="1" applyFill="1"/>
    <xf numFmtId="173" fontId="8" fillId="0" borderId="0" xfId="51" applyNumberFormat="1" applyFont="1"/>
    <xf numFmtId="2" fontId="63" fillId="0" borderId="0" xfId="0" applyNumberFormat="1" applyFont="1" applyFill="1" applyBorder="1"/>
    <xf numFmtId="0" fontId="8" fillId="0" borderId="0" xfId="0" applyFont="1" applyBorder="1"/>
    <xf numFmtId="3" fontId="8" fillId="42" borderId="27" xfId="0" applyNumberFormat="1" applyFont="1" applyFill="1" applyBorder="1"/>
    <xf numFmtId="3" fontId="8" fillId="42" borderId="28" xfId="55" applyNumberFormat="1" applyFont="1" applyFill="1" applyBorder="1"/>
    <xf numFmtId="0" fontId="8" fillId="42" borderId="27" xfId="0" applyFont="1" applyFill="1" applyBorder="1"/>
    <xf numFmtId="3" fontId="8" fillId="69" borderId="27" xfId="0" applyNumberFormat="1" applyFont="1" applyFill="1" applyBorder="1"/>
    <xf numFmtId="0" fontId="8" fillId="57" borderId="0" xfId="0" applyFont="1" applyFill="1" applyBorder="1"/>
    <xf numFmtId="10" fontId="8" fillId="42" borderId="27" xfId="55" applyNumberFormat="1" applyFont="1" applyFill="1" applyBorder="1"/>
    <xf numFmtId="3" fontId="8" fillId="73" borderId="27" xfId="0" applyNumberFormat="1" applyFont="1" applyFill="1" applyBorder="1"/>
    <xf numFmtId="183" fontId="8" fillId="69" borderId="27" xfId="0" applyNumberFormat="1" applyFont="1" applyFill="1" applyBorder="1"/>
    <xf numFmtId="167" fontId="8" fillId="69" borderId="27" xfId="0" applyNumberFormat="1" applyFont="1" applyFill="1" applyBorder="1"/>
    <xf numFmtId="3" fontId="8" fillId="94" borderId="27" xfId="0" applyNumberFormat="1" applyFont="1" applyFill="1" applyBorder="1"/>
    <xf numFmtId="0" fontId="60" fillId="60" borderId="0" xfId="173" applyNumberFormat="1" applyFont="1" applyFill="1" applyBorder="1" applyAlignment="1" applyProtection="1">
      <alignment horizontal="center" vertical="center" wrapText="1"/>
    </xf>
    <xf numFmtId="0" fontId="8" fillId="0" borderId="27" xfId="175" quotePrefix="1" applyNumberFormat="1" applyFont="1" applyFill="1" applyBorder="1" applyAlignment="1" applyProtection="1">
      <alignment horizontal="left" vertical="center" indent="1"/>
      <protection locked="0"/>
    </xf>
    <xf numFmtId="172" fontId="8" fillId="0" borderId="0" xfId="172" applyNumberFormat="1" applyFont="1"/>
    <xf numFmtId="167" fontId="8" fillId="0" borderId="27" xfId="51" applyNumberFormat="1" applyFont="1" applyFill="1" applyBorder="1" applyAlignment="1">
      <alignment horizontal="right"/>
    </xf>
    <xf numFmtId="2" fontId="8" fillId="0" borderId="27" xfId="0" applyNumberFormat="1" applyFont="1" applyFill="1" applyBorder="1" applyAlignment="1">
      <alignment horizontal="right"/>
    </xf>
    <xf numFmtId="0" fontId="13" fillId="0" borderId="0" xfId="99" applyFont="1" applyFill="1" applyBorder="1" applyAlignment="1" applyProtection="1">
      <alignment horizontal="center" vertical="center"/>
    </xf>
    <xf numFmtId="3" fontId="13" fillId="0" borderId="0" xfId="99" applyNumberFormat="1" applyFont="1" applyFill="1" applyBorder="1" applyAlignment="1" applyProtection="1">
      <alignment horizontal="center" vertical="center"/>
    </xf>
    <xf numFmtId="3" fontId="8" fillId="0" borderId="27" xfId="99" applyNumberFormat="1" applyFont="1" applyFill="1" applyBorder="1" applyAlignment="1" applyProtection="1">
      <alignment horizontal="right" vertical="center"/>
    </xf>
    <xf numFmtId="3" fontId="8" fillId="0" borderId="28" xfId="175" applyNumberFormat="1" applyFont="1" applyFill="1" applyBorder="1" applyAlignment="1" applyProtection="1">
      <alignment horizontal="center" vertical="center"/>
    </xf>
    <xf numFmtId="3" fontId="8" fillId="0" borderId="38" xfId="175" applyNumberFormat="1" applyFont="1" applyFill="1" applyBorder="1" applyAlignment="1" applyProtection="1">
      <alignment horizontal="center" vertical="center"/>
    </xf>
    <xf numFmtId="3" fontId="8" fillId="0" borderId="28" xfId="175" applyNumberFormat="1" applyFont="1" applyFill="1" applyBorder="1" applyAlignment="1" applyProtection="1">
      <alignment horizontal="left" vertical="center" indent="1"/>
    </xf>
    <xf numFmtId="3" fontId="8" fillId="0" borderId="38" xfId="175" applyNumberFormat="1" applyFont="1" applyFill="1" applyBorder="1" applyAlignment="1" applyProtection="1">
      <alignment horizontal="left" vertical="center" indent="1"/>
    </xf>
    <xf numFmtId="3" fontId="8" fillId="0" borderId="27" xfId="175" applyNumberFormat="1" applyFont="1" applyFill="1" applyBorder="1" applyAlignment="1" applyProtection="1">
      <alignment horizontal="left" vertical="center" indent="1"/>
    </xf>
    <xf numFmtId="172" fontId="8" fillId="0" borderId="28" xfId="176" applyNumberFormat="1" applyFont="1" applyFill="1" applyBorder="1"/>
    <xf numFmtId="172" fontId="8" fillId="0" borderId="27" xfId="176" applyNumberFormat="1" applyFont="1" applyFill="1" applyBorder="1"/>
    <xf numFmtId="0" fontId="91" fillId="0" borderId="27" xfId="174" applyFont="1" applyFill="1" applyBorder="1" applyAlignment="1">
      <alignment horizontal="left"/>
    </xf>
    <xf numFmtId="0" fontId="8" fillId="0" borderId="27" xfId="175" quotePrefix="1" applyNumberFormat="1" applyFont="1" applyFill="1" applyBorder="1" applyAlignment="1" applyProtection="1">
      <alignment horizontal="left" vertical="center"/>
      <protection locked="0"/>
    </xf>
    <xf numFmtId="3" fontId="8" fillId="0" borderId="27" xfId="0" applyNumberFormat="1" applyFont="1" applyFill="1" applyBorder="1" applyAlignment="1">
      <alignment wrapText="1"/>
    </xf>
    <xf numFmtId="0" fontId="12" fillId="0" borderId="26" xfId="98" applyFont="1" applyFill="1" applyBorder="1"/>
    <xf numFmtId="0" fontId="12" fillId="0" borderId="27" xfId="98" applyFont="1" applyFill="1" applyBorder="1"/>
    <xf numFmtId="0" fontId="8" fillId="0" borderId="26" xfId="98" applyFont="1" applyFill="1" applyBorder="1" applyAlignment="1">
      <alignment horizontal="left" indent="1"/>
    </xf>
    <xf numFmtId="4" fontId="8" fillId="0" borderId="27" xfId="98" applyNumberFormat="1" applyFont="1" applyFill="1" applyBorder="1"/>
    <xf numFmtId="4" fontId="8" fillId="0" borderId="37" xfId="98" applyNumberFormat="1" applyFont="1" applyFill="1" applyBorder="1"/>
    <xf numFmtId="0" fontId="12" fillId="0" borderId="27" xfId="0" applyFont="1" applyFill="1" applyBorder="1"/>
    <xf numFmtId="0" fontId="8" fillId="0" borderId="38" xfId="98" applyFont="1" applyFill="1" applyBorder="1" applyAlignment="1">
      <alignment horizontal="left"/>
    </xf>
    <xf numFmtId="3" fontId="8" fillId="0" borderId="27" xfId="55" applyNumberFormat="1" applyFont="1" applyFill="1" applyBorder="1" applyAlignment="1"/>
    <xf numFmtId="14" fontId="8" fillId="0" borderId="27" xfId="0" applyNumberFormat="1" applyFont="1" applyFill="1" applyBorder="1"/>
    <xf numFmtId="9" fontId="8" fillId="0" borderId="27" xfId="55" applyFont="1" applyFill="1" applyBorder="1"/>
    <xf numFmtId="3" fontId="8" fillId="0" borderId="27" xfId="99" applyNumberFormat="1" applyFont="1" applyFill="1" applyBorder="1" applyAlignment="1" applyProtection="1">
      <alignment vertical="center"/>
    </xf>
    <xf numFmtId="181" fontId="8" fillId="0" borderId="38" xfId="51" applyNumberFormat="1" applyFont="1" applyFill="1" applyBorder="1" applyAlignment="1" applyProtection="1">
      <alignment horizontal="left" vertical="center" indent="1"/>
      <protection locked="0"/>
    </xf>
    <xf numFmtId="181" fontId="8" fillId="0" borderId="36" xfId="0" applyNumberFormat="1" applyFont="1" applyFill="1" applyBorder="1"/>
    <xf numFmtId="167" fontId="8" fillId="0" borderId="27" xfId="51" quotePrefix="1" applyNumberFormat="1" applyFont="1" applyFill="1" applyBorder="1" applyAlignment="1" applyProtection="1">
      <alignment horizontal="right" vertical="center" indent="1"/>
      <protection locked="0"/>
    </xf>
    <xf numFmtId="187" fontId="8" fillId="0" borderId="28" xfId="0" applyNumberFormat="1" applyFont="1" applyFill="1" applyBorder="1"/>
    <xf numFmtId="187" fontId="8" fillId="0" borderId="27" xfId="0" applyNumberFormat="1" applyFont="1" applyFill="1" applyBorder="1"/>
    <xf numFmtId="188" fontId="8" fillId="0" borderId="28" xfId="175" applyNumberFormat="1" applyFont="1" applyFill="1" applyBorder="1" applyAlignment="1" applyProtection="1">
      <alignment horizontal="right" vertical="center" indent="1"/>
      <protection locked="0"/>
    </xf>
    <xf numFmtId="188" fontId="8" fillId="0" borderId="27" xfId="175" applyNumberFormat="1" applyFont="1" applyFill="1" applyBorder="1" applyAlignment="1" applyProtection="1">
      <alignment horizontal="right" vertical="center" indent="1"/>
      <protection locked="0"/>
    </xf>
    <xf numFmtId="185" fontId="8" fillId="0" borderId="36" xfId="0" applyNumberFormat="1" applyFont="1" applyFill="1" applyBorder="1"/>
    <xf numFmtId="181" fontId="0" fillId="0" borderId="0" xfId="0" applyNumberFormat="1" applyBorder="1"/>
    <xf numFmtId="167" fontId="8" fillId="0" borderId="27" xfId="92" applyNumberFormat="1" applyFont="1" applyFill="1" applyBorder="1" applyAlignment="1" applyProtection="1">
      <alignment horizontal="right" vertical="center"/>
      <protection locked="0"/>
    </xf>
    <xf numFmtId="167" fontId="8" fillId="0" borderId="33" xfId="92" applyNumberFormat="1" applyFont="1" applyFill="1" applyBorder="1" applyAlignment="1" applyProtection="1">
      <alignment horizontal="right" vertical="center"/>
      <protection locked="0"/>
    </xf>
    <xf numFmtId="3" fontId="8" fillId="73" borderId="37" xfId="0" applyNumberFormat="1" applyFont="1" applyFill="1" applyBorder="1"/>
    <xf numFmtId="3" fontId="8" fillId="78" borderId="37" xfId="0" applyNumberFormat="1" applyFont="1" applyFill="1" applyBorder="1"/>
    <xf numFmtId="3" fontId="8" fillId="0" borderId="27" xfId="520" applyNumberFormat="1" applyFont="1" applyFill="1" applyBorder="1" applyAlignment="1">
      <alignment horizontal="center"/>
    </xf>
    <xf numFmtId="0" fontId="8" fillId="0" borderId="27" xfId="520" applyFont="1" applyFill="1" applyBorder="1" applyAlignment="1">
      <alignment horizontal="left"/>
    </xf>
    <xf numFmtId="3" fontId="8" fillId="0" borderId="27" xfId="520" applyNumberFormat="1" applyFont="1" applyFill="1" applyBorder="1" applyAlignment="1">
      <alignment horizontal="center" vertical="center"/>
    </xf>
    <xf numFmtId="0" fontId="8" fillId="0" borderId="27" xfId="520" applyFont="1" applyFill="1" applyBorder="1" applyAlignment="1">
      <alignment horizontal="left" vertical="center"/>
    </xf>
    <xf numFmtId="0" fontId="8" fillId="0" borderId="27" xfId="520" applyFont="1" applyFill="1" applyBorder="1"/>
    <xf numFmtId="0" fontId="8" fillId="0" borderId="27" xfId="520" applyFont="1" applyFill="1" applyBorder="1" applyAlignment="1">
      <alignment horizontal="center"/>
    </xf>
    <xf numFmtId="3" fontId="12" fillId="61" borderId="0" xfId="520" applyNumberFormat="1" applyFont="1" applyFill="1" applyBorder="1"/>
    <xf numFmtId="3" fontId="8" fillId="0" borderId="27" xfId="178" applyNumberFormat="1" applyFont="1" applyFill="1" applyBorder="1"/>
    <xf numFmtId="3" fontId="8" fillId="0" borderId="26" xfId="520" applyNumberFormat="1" applyFont="1" applyFill="1" applyBorder="1" applyAlignment="1">
      <alignment horizontal="center" vertical="center"/>
    </xf>
    <xf numFmtId="0" fontId="8" fillId="0" borderId="27" xfId="520" applyFont="1" applyFill="1" applyBorder="1" applyAlignment="1">
      <alignment horizontal="center" vertical="center"/>
    </xf>
    <xf numFmtId="172" fontId="8" fillId="0" borderId="0" xfId="520" applyNumberFormat="1"/>
    <xf numFmtId="3" fontId="12" fillId="0" borderId="0" xfId="546" applyNumberFormat="1" applyFont="1" applyFill="1" applyBorder="1" applyAlignment="1">
      <alignment horizontal="center" vertical="top"/>
    </xf>
    <xf numFmtId="0" fontId="17" fillId="75" borderId="0" xfId="99" applyFont="1" applyFill="1" applyBorder="1" applyAlignment="1" applyProtection="1">
      <alignment vertical="center"/>
    </xf>
    <xf numFmtId="3" fontId="0" fillId="130" borderId="27" xfId="0" applyNumberFormat="1" applyFill="1" applyBorder="1"/>
    <xf numFmtId="3" fontId="12" fillId="130" borderId="28" xfId="0" applyNumberFormat="1" applyFont="1" applyFill="1" applyBorder="1"/>
    <xf numFmtId="3" fontId="8" fillId="130" borderId="27" xfId="0" applyNumberFormat="1" applyFont="1" applyFill="1" applyBorder="1"/>
    <xf numFmtId="172" fontId="8" fillId="130" borderId="27" xfId="0" applyNumberFormat="1" applyFont="1" applyFill="1" applyBorder="1"/>
    <xf numFmtId="3" fontId="8" fillId="130" borderId="28" xfId="102" applyNumberFormat="1" applyFont="1" applyFill="1" applyBorder="1"/>
    <xf numFmtId="3" fontId="8" fillId="130" borderId="27" xfId="102" applyNumberFormat="1" applyFont="1" applyFill="1" applyBorder="1"/>
    <xf numFmtId="3" fontId="0" fillId="130" borderId="28" xfId="0" applyNumberFormat="1" applyFill="1" applyBorder="1"/>
    <xf numFmtId="173" fontId="8" fillId="130" borderId="28" xfId="51" applyNumberFormat="1" applyFont="1" applyFill="1" applyBorder="1"/>
    <xf numFmtId="173" fontId="8" fillId="130" borderId="27" xfId="51" applyNumberFormat="1" applyFont="1" applyFill="1" applyBorder="1"/>
    <xf numFmtId="10" fontId="8" fillId="130" borderId="27" xfId="0" applyNumberFormat="1" applyFont="1" applyFill="1" applyBorder="1" applyAlignment="1">
      <alignment horizontal="center" vertical="center" wrapText="1"/>
    </xf>
    <xf numFmtId="2" fontId="0" fillId="130" borderId="28" xfId="0" applyNumberFormat="1" applyFill="1" applyBorder="1"/>
    <xf numFmtId="2" fontId="0" fillId="130" borderId="27" xfId="0" applyNumberFormat="1" applyFill="1" applyBorder="1"/>
    <xf numFmtId="3" fontId="8" fillId="130" borderId="28" xfId="175" quotePrefix="1" applyNumberFormat="1" applyFont="1" applyFill="1" applyBorder="1" applyAlignment="1" applyProtection="1">
      <alignment horizontal="right" vertical="center"/>
      <protection locked="0"/>
    </xf>
    <xf numFmtId="3" fontId="8" fillId="130" borderId="27" xfId="175" quotePrefix="1" applyNumberFormat="1" applyFont="1" applyFill="1" applyBorder="1" applyAlignment="1" applyProtection="1">
      <alignment horizontal="right" vertical="center"/>
      <protection locked="0"/>
    </xf>
    <xf numFmtId="187" fontId="11" fillId="130" borderId="28" xfId="92" quotePrefix="1" applyNumberFormat="1" applyFont="1" applyFill="1" applyBorder="1" applyAlignment="1" applyProtection="1">
      <alignment vertical="center"/>
      <protection locked="0"/>
    </xf>
    <xf numFmtId="0" fontId="8" fillId="130" borderId="27" xfId="520" applyFont="1" applyFill="1" applyBorder="1" applyAlignment="1">
      <alignment horizontal="center"/>
    </xf>
    <xf numFmtId="173" fontId="23" fillId="130" borderId="27" xfId="51" applyNumberFormat="1" applyFont="1" applyFill="1" applyBorder="1" applyAlignment="1">
      <alignment horizontal="center"/>
    </xf>
    <xf numFmtId="173" fontId="0" fillId="130" borderId="27" xfId="51" applyNumberFormat="1" applyFont="1" applyFill="1" applyBorder="1"/>
    <xf numFmtId="3" fontId="11" fillId="130" borderId="31" xfId="92" applyNumberFormat="1" applyFont="1" applyFill="1" applyBorder="1" applyAlignment="1" applyProtection="1">
      <alignment horizontal="right" vertical="center" indent="1"/>
      <protection locked="0"/>
    </xf>
    <xf numFmtId="173" fontId="8" fillId="130" borderId="27" xfId="520" applyNumberFormat="1" applyFont="1" applyFill="1" applyBorder="1"/>
    <xf numFmtId="173" fontId="8" fillId="130" borderId="27" xfId="435" applyNumberFormat="1" applyFont="1" applyFill="1" applyBorder="1" applyAlignment="1">
      <alignment horizontal="center"/>
    </xf>
    <xf numFmtId="3" fontId="8" fillId="130" borderId="38" xfId="172" applyNumberFormat="1" applyFont="1" applyFill="1" applyBorder="1"/>
    <xf numFmtId="3" fontId="8" fillId="130" borderId="28" xfId="176" applyNumberFormat="1" applyFont="1" applyFill="1" applyBorder="1"/>
    <xf numFmtId="3" fontId="8" fillId="130" borderId="27" xfId="172" applyNumberFormat="1" applyFont="1" applyFill="1" applyBorder="1"/>
    <xf numFmtId="3" fontId="8" fillId="130" borderId="37" xfId="173" applyNumberFormat="1" applyFont="1" applyFill="1" applyBorder="1" applyAlignment="1" applyProtection="1">
      <alignment horizontal="right" vertical="center" wrapText="1"/>
    </xf>
    <xf numFmtId="0" fontId="8" fillId="130" borderId="41" xfId="178" applyFont="1" applyFill="1" applyBorder="1" applyAlignment="1">
      <alignment horizontal="left" indent="1"/>
    </xf>
    <xf numFmtId="0" fontId="8" fillId="130" borderId="27" xfId="0" applyFont="1" applyFill="1" applyBorder="1"/>
    <xf numFmtId="3" fontId="8" fillId="130" borderId="27" xfId="520" applyNumberFormat="1" applyFont="1" applyFill="1" applyBorder="1" applyAlignment="1">
      <alignment horizontal="right" vertical="center"/>
    </xf>
    <xf numFmtId="10" fontId="57" fillId="130" borderId="27" xfId="55" applyNumberFormat="1" applyFont="1" applyFill="1" applyBorder="1"/>
    <xf numFmtId="3" fontId="11" fillId="130" borderId="27" xfId="99" applyNumberFormat="1" applyFont="1" applyFill="1" applyBorder="1" applyAlignment="1" applyProtection="1">
      <alignment vertical="center"/>
    </xf>
    <xf numFmtId="14" fontId="8" fillId="130" borderId="27" xfId="520" applyNumberFormat="1" applyFont="1" applyFill="1" applyBorder="1"/>
    <xf numFmtId="0" fontId="8" fillId="130" borderId="31" xfId="520" applyFont="1" applyFill="1" applyBorder="1" applyAlignment="1">
      <alignment horizontal="center"/>
    </xf>
    <xf numFmtId="3" fontId="8" fillId="130" borderId="27" xfId="99" applyNumberFormat="1" applyFont="1" applyFill="1" applyBorder="1" applyAlignment="1" applyProtection="1">
      <alignment horizontal="right" vertical="center"/>
    </xf>
    <xf numFmtId="3" fontId="8" fillId="130" borderId="40" xfId="99" applyNumberFormat="1" applyFont="1" applyFill="1" applyBorder="1" applyAlignment="1" applyProtection="1">
      <alignment horizontal="right" vertical="center"/>
    </xf>
    <xf numFmtId="3" fontId="8" fillId="130" borderId="27" xfId="0" applyNumberFormat="1" applyFont="1" applyFill="1" applyBorder="1" applyAlignment="1"/>
    <xf numFmtId="3" fontId="8" fillId="130" borderId="27" xfId="176" applyNumberFormat="1" applyFont="1" applyFill="1" applyBorder="1"/>
    <xf numFmtId="3" fontId="8" fillId="130" borderId="33" xfId="172" applyNumberFormat="1" applyFont="1" applyFill="1" applyBorder="1"/>
    <xf numFmtId="3" fontId="8" fillId="130" borderId="28" xfId="172" applyNumberFormat="1" applyFont="1" applyFill="1" applyBorder="1"/>
    <xf numFmtId="3" fontId="8" fillId="130" borderId="27" xfId="173" applyNumberFormat="1" applyFont="1" applyFill="1" applyBorder="1" applyAlignment="1" applyProtection="1">
      <alignment horizontal="right" vertical="center" wrapText="1"/>
    </xf>
    <xf numFmtId="0" fontId="8" fillId="130" borderId="27" xfId="178" applyFont="1" applyFill="1" applyBorder="1" applyAlignment="1">
      <alignment horizontal="left" indent="1"/>
    </xf>
    <xf numFmtId="173" fontId="8" fillId="130" borderId="27" xfId="0" applyNumberFormat="1" applyFont="1" applyFill="1" applyBorder="1"/>
    <xf numFmtId="14" fontId="8" fillId="130" borderId="31" xfId="520" applyNumberFormat="1" applyFont="1" applyFill="1" applyBorder="1"/>
    <xf numFmtId="3" fontId="8" fillId="130" borderId="27" xfId="520" applyNumberFormat="1" applyFont="1" applyFill="1" applyBorder="1" applyAlignment="1">
      <alignment horizontal="center"/>
    </xf>
    <xf numFmtId="3" fontId="23" fillId="130" borderId="27" xfId="98" applyNumberFormat="1" applyFont="1" applyFill="1" applyBorder="1"/>
    <xf numFmtId="172" fontId="8" fillId="130" borderId="27" xfId="520" applyNumberFormat="1" applyFont="1" applyFill="1" applyBorder="1"/>
    <xf numFmtId="3" fontId="8" fillId="130" borderId="27" xfId="520" applyNumberFormat="1" applyFont="1" applyFill="1" applyBorder="1" applyAlignment="1">
      <alignment horizontal="right" vertical="top"/>
    </xf>
    <xf numFmtId="167" fontId="8" fillId="130" borderId="27" xfId="520" applyNumberFormat="1" applyFont="1" applyFill="1" applyBorder="1"/>
    <xf numFmtId="0" fontId="8" fillId="130" borderId="27" xfId="520" applyFont="1" applyFill="1" applyBorder="1"/>
    <xf numFmtId="3" fontId="12" fillId="130" borderId="28" xfId="520" applyNumberFormat="1" applyFont="1" applyFill="1" applyBorder="1"/>
    <xf numFmtId="3" fontId="8" fillId="130" borderId="27" xfId="55" applyNumberFormat="1" applyFont="1" applyFill="1" applyBorder="1"/>
    <xf numFmtId="3" fontId="8" fillId="130" borderId="27" xfId="520" applyNumberFormat="1" applyFont="1" applyFill="1" applyBorder="1"/>
    <xf numFmtId="3" fontId="8" fillId="130" borderId="62" xfId="520" applyNumberFormat="1" applyFont="1" applyFill="1" applyBorder="1" applyAlignment="1">
      <alignment horizontal="right" vertical="center"/>
    </xf>
    <xf numFmtId="3" fontId="8" fillId="130" borderId="38" xfId="92" applyNumberFormat="1" applyFont="1" applyFill="1" applyBorder="1" applyAlignment="1" applyProtection="1">
      <alignment horizontal="right" vertical="center" indent="1"/>
      <protection locked="0"/>
    </xf>
    <xf numFmtId="0" fontId="8" fillId="0" borderId="41" xfId="178" applyFont="1" applyFill="1" applyBorder="1" applyAlignment="1">
      <alignment horizontal="left" indent="1"/>
    </xf>
    <xf numFmtId="3" fontId="8" fillId="69" borderId="27" xfId="520" applyNumberFormat="1" applyFill="1" applyBorder="1"/>
    <xf numFmtId="3" fontId="8" fillId="69" borderId="28" xfId="172" applyNumberFormat="1" applyFont="1" applyFill="1" applyBorder="1" applyAlignment="1">
      <alignment horizontal="right"/>
    </xf>
    <xf numFmtId="3" fontId="8" fillId="130" borderId="28" xfId="99" applyNumberFormat="1" applyFont="1" applyFill="1" applyBorder="1" applyAlignment="1" applyProtection="1">
      <alignment horizontal="right" vertical="center"/>
    </xf>
    <xf numFmtId="3" fontId="8" fillId="130" borderId="32" xfId="99" applyNumberFormat="1" applyFont="1" applyFill="1" applyBorder="1" applyAlignment="1" applyProtection="1">
      <alignment horizontal="right" vertical="center"/>
    </xf>
    <xf numFmtId="3" fontId="8" fillId="130" borderId="31" xfId="172" applyNumberFormat="1" applyFont="1" applyFill="1" applyBorder="1"/>
    <xf numFmtId="0" fontId="14" fillId="59" borderId="51" xfId="101" applyFont="1" applyFill="1" applyBorder="1" applyAlignment="1">
      <alignment horizontal="left"/>
    </xf>
    <xf numFmtId="0" fontId="15" fillId="0" borderId="51" xfId="1" applyFont="1" applyBorder="1" applyAlignment="1"/>
    <xf numFmtId="0" fontId="0" fillId="0" borderId="51" xfId="1" applyFont="1" applyBorder="1" applyAlignment="1"/>
    <xf numFmtId="0" fontId="0" fillId="0" borderId="35" xfId="1" applyFont="1" applyBorder="1" applyAlignment="1"/>
    <xf numFmtId="0" fontId="9" fillId="0" borderId="0" xfId="99" applyFont="1" applyFill="1" applyBorder="1" applyAlignment="1" applyProtection="1">
      <alignment horizontal="center" vertical="top"/>
    </xf>
    <xf numFmtId="0" fontId="11" fillId="0" borderId="0" xfId="101" applyFont="1" applyAlignment="1"/>
    <xf numFmtId="0" fontId="8" fillId="0" borderId="0" xfId="101" applyFont="1" applyAlignment="1"/>
    <xf numFmtId="0" fontId="14" fillId="0" borderId="51" xfId="101" applyFont="1" applyFill="1" applyBorder="1" applyAlignment="1">
      <alignment horizontal="left"/>
    </xf>
    <xf numFmtId="0" fontId="15" fillId="0" borderId="51" xfId="1" applyFont="1" applyFill="1" applyBorder="1" applyAlignment="1"/>
    <xf numFmtId="0" fontId="8" fillId="0" borderId="51" xfId="1" applyFont="1" applyFill="1" applyBorder="1" applyAlignment="1"/>
    <xf numFmtId="0" fontId="8" fillId="0" borderId="35" xfId="1" applyFont="1" applyFill="1" applyBorder="1" applyAlignment="1"/>
    <xf numFmtId="0" fontId="14" fillId="58" borderId="51" xfId="101" applyFont="1" applyFill="1" applyBorder="1" applyAlignment="1">
      <alignment horizontal="left"/>
    </xf>
    <xf numFmtId="0" fontId="15" fillId="58" borderId="51" xfId="1" applyFont="1" applyFill="1" applyBorder="1" applyAlignment="1"/>
    <xf numFmtId="0" fontId="0" fillId="58" borderId="51" xfId="1" applyFont="1" applyFill="1" applyBorder="1" applyAlignment="1"/>
    <xf numFmtId="0" fontId="0" fillId="58" borderId="35" xfId="1" applyFont="1" applyFill="1" applyBorder="1" applyAlignment="1"/>
    <xf numFmtId="0" fontId="14" fillId="42" borderId="51" xfId="101" applyFont="1" applyFill="1" applyBorder="1" applyAlignment="1">
      <alignment horizontal="left"/>
    </xf>
    <xf numFmtId="0" fontId="102" fillId="0" borderId="0" xfId="0" applyFont="1" applyAlignment="1">
      <alignment horizontal="left" vertical="top" wrapText="1"/>
    </xf>
    <xf numFmtId="0" fontId="17" fillId="60" borderId="21" xfId="99" applyFont="1" applyFill="1" applyBorder="1" applyAlignment="1" applyProtection="1">
      <alignment horizontal="left" vertical="center"/>
    </xf>
    <xf numFmtId="0" fontId="17" fillId="60" borderId="0" xfId="99" applyFont="1" applyFill="1" applyBorder="1" applyAlignment="1" applyProtection="1">
      <alignment horizontal="left" vertical="center"/>
    </xf>
    <xf numFmtId="0" fontId="102" fillId="0" borderId="0" xfId="0" applyFont="1" applyBorder="1" applyAlignment="1">
      <alignment horizontal="left" wrapText="1"/>
    </xf>
    <xf numFmtId="0" fontId="101" fillId="60" borderId="0" xfId="99" applyFont="1" applyFill="1" applyBorder="1" applyAlignment="1" applyProtection="1">
      <alignment horizontal="center" vertical="center"/>
    </xf>
    <xf numFmtId="0" fontId="65" fillId="0" borderId="0" xfId="174" applyFont="1" applyFill="1" applyBorder="1" applyAlignment="1">
      <alignment horizontal="center" vertical="center"/>
    </xf>
    <xf numFmtId="0" fontId="68" fillId="60" borderId="0" xfId="174" applyFont="1" applyFill="1" applyAlignment="1">
      <alignment horizontal="center" vertical="center"/>
    </xf>
    <xf numFmtId="0" fontId="68" fillId="75" borderId="0" xfId="172" applyFont="1" applyFill="1" applyAlignment="1">
      <alignment horizontal="center"/>
    </xf>
    <xf numFmtId="0" fontId="0" fillId="0" borderId="0" xfId="0" applyAlignment="1">
      <alignment horizontal="center" vertical="center"/>
    </xf>
    <xf numFmtId="0" fontId="101" fillId="75" borderId="21" xfId="0" applyFont="1" applyFill="1" applyBorder="1" applyAlignment="1">
      <alignment horizontal="left"/>
    </xf>
    <xf numFmtId="0" fontId="101" fillId="75" borderId="0" xfId="0" applyFont="1" applyFill="1" applyBorder="1" applyAlignment="1">
      <alignment horizontal="left"/>
    </xf>
    <xf numFmtId="0" fontId="101" fillId="75" borderId="22" xfId="0" applyFont="1" applyFill="1" applyBorder="1" applyAlignment="1">
      <alignment horizontal="left"/>
    </xf>
    <xf numFmtId="0" fontId="102" fillId="0" borderId="21" xfId="0" applyFont="1" applyBorder="1" applyAlignment="1">
      <alignment horizontal="left" wrapText="1"/>
    </xf>
    <xf numFmtId="0" fontId="102" fillId="0" borderId="22" xfId="0" applyFont="1" applyBorder="1" applyAlignment="1">
      <alignment horizontal="left" wrapText="1"/>
    </xf>
    <xf numFmtId="0" fontId="8" fillId="0" borderId="0" xfId="0" applyFont="1" applyAlignment="1">
      <alignment horizontal="left" vertical="top" wrapText="1"/>
    </xf>
    <xf numFmtId="0" fontId="68" fillId="75" borderId="21" xfId="98" applyFont="1" applyFill="1" applyBorder="1" applyAlignment="1">
      <alignment horizontal="left"/>
    </xf>
    <xf numFmtId="0" fontId="68" fillId="75" borderId="0" xfId="98" applyFont="1" applyFill="1" applyBorder="1" applyAlignment="1">
      <alignment horizontal="left"/>
    </xf>
    <xf numFmtId="0" fontId="8" fillId="0" borderId="0" xfId="0" applyFont="1" applyFill="1" applyBorder="1" applyAlignment="1">
      <alignment horizontal="center"/>
    </xf>
    <xf numFmtId="0" fontId="68" fillId="75" borderId="55" xfId="0" applyFont="1" applyFill="1" applyBorder="1" applyAlignment="1">
      <alignment horizontal="center" vertical="center"/>
    </xf>
    <xf numFmtId="0" fontId="68" fillId="75" borderId="0" xfId="0" applyFont="1" applyFill="1" applyBorder="1" applyAlignment="1">
      <alignment horizontal="center" vertical="center"/>
    </xf>
    <xf numFmtId="0" fontId="68" fillId="75" borderId="56" xfId="0" applyFont="1" applyFill="1" applyBorder="1" applyAlignment="1">
      <alignment horizontal="center" vertical="center"/>
    </xf>
    <xf numFmtId="0" fontId="68" fillId="60" borderId="55" xfId="0" applyFont="1" applyFill="1" applyBorder="1" applyAlignment="1">
      <alignment horizontal="center" vertical="center"/>
    </xf>
    <xf numFmtId="0" fontId="68" fillId="60" borderId="0" xfId="0" applyFont="1" applyFill="1" applyBorder="1" applyAlignment="1">
      <alignment horizontal="center" vertical="center"/>
    </xf>
    <xf numFmtId="0" fontId="68" fillId="60" borderId="56" xfId="0" applyFont="1" applyFill="1" applyBorder="1" applyAlignment="1">
      <alignment horizontal="center" vertical="center"/>
    </xf>
    <xf numFmtId="0" fontId="68" fillId="60" borderId="0" xfId="0" applyFont="1" applyFill="1" applyBorder="1" applyAlignment="1">
      <alignment horizontal="center" vertical="center" wrapText="1"/>
    </xf>
    <xf numFmtId="0" fontId="68" fillId="60" borderId="55" xfId="0" applyFont="1" applyFill="1" applyBorder="1" applyAlignment="1">
      <alignment horizontal="center" vertical="center" wrapText="1"/>
    </xf>
    <xf numFmtId="0" fontId="68" fillId="60" borderId="56" xfId="0" applyFont="1" applyFill="1" applyBorder="1" applyAlignment="1">
      <alignment horizontal="center" vertical="center" wrapText="1"/>
    </xf>
    <xf numFmtId="0" fontId="68" fillId="75" borderId="61" xfId="0" applyFont="1" applyFill="1" applyBorder="1" applyAlignment="1">
      <alignment horizontal="center" vertical="center"/>
    </xf>
    <xf numFmtId="0" fontId="68" fillId="75" borderId="60" xfId="0" applyFont="1" applyFill="1" applyBorder="1" applyAlignment="1">
      <alignment horizontal="center" vertical="center"/>
    </xf>
    <xf numFmtId="0" fontId="17" fillId="60" borderId="34" xfId="99" applyFont="1" applyFill="1" applyBorder="1" applyAlignment="1" applyProtection="1">
      <alignment horizontal="left" vertical="center"/>
    </xf>
    <xf numFmtId="0" fontId="0" fillId="0" borderId="51" xfId="0" applyBorder="1" applyAlignment="1">
      <alignment horizontal="left"/>
    </xf>
    <xf numFmtId="0" fontId="22" fillId="0" borderId="19" xfId="99" applyFont="1" applyFill="1" applyBorder="1" applyAlignment="1" applyProtection="1">
      <alignment horizontal="right" vertical="center"/>
    </xf>
    <xf numFmtId="0" fontId="8" fillId="0" borderId="51" xfId="520" applyBorder="1" applyAlignment="1">
      <alignment horizontal="left"/>
    </xf>
    <xf numFmtId="0" fontId="94" fillId="75" borderId="0" xfId="0" applyFont="1" applyFill="1" applyBorder="1" applyAlignment="1">
      <alignment horizontal="center"/>
    </xf>
    <xf numFmtId="0" fontId="94" fillId="60" borderId="0" xfId="103" applyNumberFormat="1" applyFont="1" applyFill="1" applyBorder="1" applyAlignment="1" applyProtection="1">
      <alignment horizontal="center" vertical="center" wrapText="1"/>
    </xf>
    <xf numFmtId="0" fontId="94" fillId="75" borderId="0" xfId="103" applyNumberFormat="1" applyFont="1" applyFill="1" applyBorder="1" applyAlignment="1" applyProtection="1">
      <alignment horizontal="center" vertical="center" wrapText="1"/>
    </xf>
    <xf numFmtId="0" fontId="94" fillId="75" borderId="0" xfId="0" applyFont="1" applyFill="1" applyBorder="1" applyAlignment="1">
      <alignment horizontal="center" vertical="center"/>
    </xf>
    <xf numFmtId="0" fontId="94" fillId="75" borderId="0" xfId="0" applyFont="1" applyFill="1" applyAlignment="1">
      <alignment horizontal="center" vertical="center"/>
    </xf>
    <xf numFmtId="0" fontId="68" fillId="75" borderId="0" xfId="0" applyFont="1" applyFill="1" applyAlignment="1">
      <alignment horizontal="center" vertical="center"/>
    </xf>
    <xf numFmtId="0" fontId="115" fillId="60" borderId="0" xfId="103" applyNumberFormat="1" applyFont="1" applyFill="1" applyBorder="1" applyAlignment="1" applyProtection="1">
      <alignment horizontal="center" vertical="center" wrapText="1"/>
    </xf>
  </cellXfs>
  <cellStyles count="2562">
    <cellStyle name="_x000a__x000a_JournalTemplate=C:\COMFO\CTALK\JOURSTD.TPL_x000a__x000a_LbStateAddress=3 3 0 251 1 89 2 311_x000a__x000a_LbStateJou" xfId="548"/>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10" xfId="417"/>
    <cellStyle name="_x000d__x000a_JournalTemplate=C:\COMFO\CTALK\JOURSTD.TPL_x000d__x000a_LbStateAddress=3 3 0 251 1 89 2 311_x000d__x000a_LbStateJou 11" xfId="418"/>
    <cellStyle name="_x000d__x000a_JournalTemplate=C:\COMFO\CTALK\JOURSTD.TPL_x000d__x000a_LbStateAddress=3 3 0 251 1 89 2 311_x000d__x000a_LbStateJou 12" xfId="419"/>
    <cellStyle name="_x000d__x000a_JournalTemplate=C:\COMFO\CTALK\JOURSTD.TPL_x000d__x000a_LbStateAddress=3 3 0 251 1 89 2 311_x000d__x000a_LbStateJou 13" xfId="420"/>
    <cellStyle name="_x000d__x000a_JournalTemplate=C:\COMFO\CTALK\JOURSTD.TPL_x000d__x000a_LbStateAddress=3 3 0 251 1 89 2 311_x000d__x000a_LbStateJou 14" xfId="421"/>
    <cellStyle name="_x000d__x000a_JournalTemplate=C:\COMFO\CTALK\JOURSTD.TPL_x000d__x000a_LbStateAddress=3 3 0 251 1 89 2 311_x000d__x000a_LbStateJou 15" xfId="422"/>
    <cellStyle name="_x000d__x000a_JournalTemplate=C:\COMFO\CTALK\JOURSTD.TPL_x000d__x000a_LbStateAddress=3 3 0 251 1 89 2 311_x000d__x000a_LbStateJou 16" xfId="1297"/>
    <cellStyle name="_x000d__x000a_JournalTemplate=C:\COMFO\CTALK\JOURSTD.TPL_x000d__x000a_LbStateAddress=3 3 0 251 1 89 2 311_x000d__x000a_LbStateJou 2" xfId="2"/>
    <cellStyle name="_x000d__x000a_JournalTemplate=C:\COMFO\CTALK\JOURSTD.TPL_x000d__x000a_LbStateAddress=3 3 0 251 1 89 2 311_x000d__x000a_LbStateJou 2 2" xfId="408"/>
    <cellStyle name="_x000d__x000a_JournalTemplate=C:\COMFO\CTALK\JOURSTD.TPL_x000d__x000a_LbStateAddress=3 3 0 251 1 89 2 311_x000d__x000a_LbStateJou 2 3" xfId="1299"/>
    <cellStyle name="_x000d__x000a_JournalTemplate=C:\COMFO\CTALK\JOURSTD.TPL_x000d__x000a_LbStateAddress=3 3 0 251 1 89 2 311_x000d__x000a_LbStateJou 2 4" xfId="1298"/>
    <cellStyle name="_x000d__x000a_JournalTemplate=C:\COMFO\CTALK\JOURSTD.TPL_x000d__x000a_LbStateAddress=3 3 0 251 1 89 2 311_x000d__x000a_LbStateJou 3" xfId="107"/>
    <cellStyle name="_x000d__x000a_JournalTemplate=C:\COMFO\CTALK\JOURSTD.TPL_x000d__x000a_LbStateAddress=3 3 0 251 1 89 2 311_x000d__x000a_LbStateJou 3 2" xfId="412"/>
    <cellStyle name="_x000d__x000a_JournalTemplate=C:\COMFO\CTALK\JOURSTD.TPL_x000d__x000a_LbStateAddress=3 3 0 251 1 89 2 311_x000d__x000a_LbStateJou 3 2 2" xfId="550"/>
    <cellStyle name="_x000d__x000a_JournalTemplate=C:\COMFO\CTALK\JOURSTD.TPL_x000d__x000a_LbStateAddress=3 3 0 251 1 89 2 311_x000d__x000a_LbStateJou 3 3" xfId="423"/>
    <cellStyle name="_x000d__x000a_JournalTemplate=C:\COMFO\CTALK\JOURSTD.TPL_x000d__x000a_LbStateAddress=3 3 0 251 1 89 2 311_x000d__x000a_LbStateJou 3 4" xfId="549"/>
    <cellStyle name="_x000d__x000a_JournalTemplate=C:\COMFO\CTALK\JOURSTD.TPL_x000d__x000a_LbStateAddress=3 3 0 251 1 89 2 311_x000d__x000a_LbStateJou 4" xfId="176"/>
    <cellStyle name="_x000d__x000a_JournalTemplate=C:\COMFO\CTALK\JOURSTD.TPL_x000d__x000a_LbStateAddress=3 3 0 251 1 89 2 311_x000d__x000a_LbStateJou 4 2" xfId="552"/>
    <cellStyle name="_x000d__x000a_JournalTemplate=C:\COMFO\CTALK\JOURSTD.TPL_x000d__x000a_LbStateAddress=3 3 0 251 1 89 2 311_x000d__x000a_LbStateJou 4 3" xfId="551"/>
    <cellStyle name="_x000d__x000a_JournalTemplate=C:\COMFO\CTALK\JOURSTD.TPL_x000d__x000a_LbStateAddress=3 3 0 251 1 89 2 311_x000d__x000a_LbStateJou 5" xfId="424"/>
    <cellStyle name="_x000d__x000a_JournalTemplate=C:\COMFO\CTALK\JOURSTD.TPL_x000d__x000a_LbStateAddress=3 3 0 251 1 89 2 311_x000d__x000a_LbStateJou 5 2" xfId="553"/>
    <cellStyle name="_x000d__x000a_JournalTemplate=C:\COMFO\CTALK\JOURSTD.TPL_x000d__x000a_LbStateAddress=3 3 0 251 1 89 2 311_x000d__x000a_LbStateJou 6" xfId="425"/>
    <cellStyle name="_x000d__x000a_JournalTemplate=C:\COMFO\CTALK\JOURSTD.TPL_x000d__x000a_LbStateAddress=3 3 0 251 1 89 2 311_x000d__x000a_LbStateJou 7" xfId="426"/>
    <cellStyle name="_x000d__x000a_JournalTemplate=C:\COMFO\CTALK\JOURSTD.TPL_x000d__x000a_LbStateAddress=3 3 0 251 1 89 2 311_x000d__x000a_LbStateJou 8" xfId="427"/>
    <cellStyle name="_x000d__x000a_JournalTemplate=C:\COMFO\CTALK\JOURSTD.TPL_x000d__x000a_LbStateAddress=3 3 0 251 1 89 2 311_x000d__x000a_LbStateJou 9" xfId="428"/>
    <cellStyle name="_x000d__x000a_JournalTemplate=C:\COMFO\CTALK\JOURSTD.TPL_x000d__x000a_LbStateAddress=3 3 0 251 1 89 2 311_x000d__x000a_LbStateJou_01. TS-TAR(i)-12-09" xfId="429"/>
    <cellStyle name="_x000d__x000a_JournalTemplate=C:\COMFO\CTALK\JOURSTD.TPL_x000d__x000a_LbStateAddress=3 3 0 251 1 89 2 311_x000d__x000a_LbStateJou_Concept x-factor model22-187987" xfId="3"/>
    <cellStyle name="_x000d__x000a_JournalTemplate=C:\COMFO\CTALK\JOURSTD.TPL_x000d__x000a_LbStateAddress=3 3 0 251 1 89 2 311_x000d__x000a_LbStateJou_Concept x-factor model22-187987 2" xfId="108"/>
    <cellStyle name="_x000d__x000a_JournalTemplate=C:\COMFO\CTALK\JOURSTD.TPL_x000d__x000a_LbStateAddress=3 3 0 251 1 89 2 311_x000d__x000a_LbStateJou_x factoren tennet" xfId="4"/>
    <cellStyle name="20 % - Akzent1" xfId="109"/>
    <cellStyle name="20 % - Akzent2" xfId="110"/>
    <cellStyle name="20 % - Akzent3" xfId="111"/>
    <cellStyle name="20 % - Akzent4" xfId="112"/>
    <cellStyle name="20 % - Akzent5" xfId="113"/>
    <cellStyle name="20 % - Akzent6" xfId="114"/>
    <cellStyle name="20% - Accent1" xfId="5" builtinId="30" customBuiltin="1"/>
    <cellStyle name="20% - Accent1 2" xfId="179"/>
    <cellStyle name="20% - Accent1 3" xfId="1301"/>
    <cellStyle name="20% - Accent1 3 2" xfId="2416"/>
    <cellStyle name="20% - Accent1 3 3" xfId="2494"/>
    <cellStyle name="20% - Accent1 4" xfId="1377"/>
    <cellStyle name="20% - Accent1 4 2" xfId="2519"/>
    <cellStyle name="20% - Accent2" xfId="6" builtinId="34" customBuiltin="1"/>
    <cellStyle name="20% - Accent2 2" xfId="180"/>
    <cellStyle name="20% - Accent2 3" xfId="1302"/>
    <cellStyle name="20% - Accent2 3 2" xfId="2417"/>
    <cellStyle name="20% - Accent2 3 3" xfId="2495"/>
    <cellStyle name="20% - Accent2 4" xfId="1378"/>
    <cellStyle name="20% - Accent2 4 2" xfId="2520"/>
    <cellStyle name="20% - Accent3" xfId="7" builtinId="38" customBuiltin="1"/>
    <cellStyle name="20% - Accent3 2" xfId="181"/>
    <cellStyle name="20% - Accent3 3" xfId="1303"/>
    <cellStyle name="20% - Accent3 3 2" xfId="2418"/>
    <cellStyle name="20% - Accent3 3 3" xfId="2496"/>
    <cellStyle name="20% - Accent3 4" xfId="1379"/>
    <cellStyle name="20% - Accent3 4 2" xfId="2521"/>
    <cellStyle name="20% - Accent4" xfId="8" builtinId="42" customBuiltin="1"/>
    <cellStyle name="20% - Accent4 2" xfId="182"/>
    <cellStyle name="20% - Accent4 3" xfId="1304"/>
    <cellStyle name="20% - Accent4 3 2" xfId="2419"/>
    <cellStyle name="20% - Accent4 3 3" xfId="2497"/>
    <cellStyle name="20% - Accent4 4" xfId="1380"/>
    <cellStyle name="20% - Accent4 4 2" xfId="2522"/>
    <cellStyle name="20% - Accent5" xfId="9" builtinId="46" customBuiltin="1"/>
    <cellStyle name="20% - Accent5 2" xfId="183"/>
    <cellStyle name="20% - Accent5 3" xfId="1305"/>
    <cellStyle name="20% - Accent5 3 2" xfId="2420"/>
    <cellStyle name="20% - Accent5 3 3" xfId="2498"/>
    <cellStyle name="20% - Accent5 4" xfId="1381"/>
    <cellStyle name="20% - Accent5 4 2" xfId="2523"/>
    <cellStyle name="20% - Accent6" xfId="10" builtinId="50" customBuiltin="1"/>
    <cellStyle name="20% - Accent6 2" xfId="184"/>
    <cellStyle name="20% - Accent6 3" xfId="1306"/>
    <cellStyle name="20% - Accent6 3 2" xfId="2421"/>
    <cellStyle name="20% - Accent6 3 3" xfId="2499"/>
    <cellStyle name="20% - Accent6 4" xfId="1382"/>
    <cellStyle name="20% - Accent6 4 2" xfId="2524"/>
    <cellStyle name="40 % - Akzent1" xfId="115"/>
    <cellStyle name="40 % - Akzent2" xfId="116"/>
    <cellStyle name="40 % - Akzent3" xfId="117"/>
    <cellStyle name="40 % - Akzent4" xfId="118"/>
    <cellStyle name="40 % - Akzent5" xfId="119"/>
    <cellStyle name="40 % - Akzent6" xfId="120"/>
    <cellStyle name="40% - Accent1" xfId="11" builtinId="31" customBuiltin="1"/>
    <cellStyle name="40% - Accent1 2" xfId="185"/>
    <cellStyle name="40% - Accent1 3" xfId="1307"/>
    <cellStyle name="40% - Accent1 3 2" xfId="2422"/>
    <cellStyle name="40% - Accent1 3 3" xfId="2500"/>
    <cellStyle name="40% - Accent1 4" xfId="1383"/>
    <cellStyle name="40% - Accent1 4 2" xfId="2525"/>
    <cellStyle name="40% - Accent2" xfId="12" builtinId="35" customBuiltin="1"/>
    <cellStyle name="40% - Accent2 2" xfId="186"/>
    <cellStyle name="40% - Accent2 3" xfId="1308"/>
    <cellStyle name="40% - Accent2 3 2" xfId="2423"/>
    <cellStyle name="40% - Accent2 3 3" xfId="2501"/>
    <cellStyle name="40% - Accent2 4" xfId="1384"/>
    <cellStyle name="40% - Accent2 4 2" xfId="2526"/>
    <cellStyle name="40% - Accent3" xfId="13" builtinId="39" customBuiltin="1"/>
    <cellStyle name="40% - Accent3 2" xfId="187"/>
    <cellStyle name="40% - Accent3 3" xfId="1309"/>
    <cellStyle name="40% - Accent3 3 2" xfId="2424"/>
    <cellStyle name="40% - Accent3 3 3" xfId="2502"/>
    <cellStyle name="40% - Accent3 4" xfId="1385"/>
    <cellStyle name="40% - Accent3 4 2" xfId="2527"/>
    <cellStyle name="40% - Accent4" xfId="14" builtinId="43" customBuiltin="1"/>
    <cellStyle name="40% - Accent4 2" xfId="188"/>
    <cellStyle name="40% - Accent4 3" xfId="1310"/>
    <cellStyle name="40% - Accent4 3 2" xfId="2425"/>
    <cellStyle name="40% - Accent4 3 3" xfId="2503"/>
    <cellStyle name="40% - Accent4 4" xfId="1386"/>
    <cellStyle name="40% - Accent4 4 2" xfId="2528"/>
    <cellStyle name="40% - Accent5" xfId="15" builtinId="47" customBuiltin="1"/>
    <cellStyle name="40% - Accent5 2" xfId="189"/>
    <cellStyle name="40% - Accent5 3" xfId="1311"/>
    <cellStyle name="40% - Accent5 3 2" xfId="2426"/>
    <cellStyle name="40% - Accent5 3 3" xfId="2504"/>
    <cellStyle name="40% - Accent5 4" xfId="1387"/>
    <cellStyle name="40% - Accent5 4 2" xfId="2529"/>
    <cellStyle name="40% - Accent6" xfId="16" builtinId="51" customBuiltin="1"/>
    <cellStyle name="40% - Accent6 2" xfId="190"/>
    <cellStyle name="40% - Accent6 3" xfId="1312"/>
    <cellStyle name="40% - Accent6 3 2" xfId="2427"/>
    <cellStyle name="40% - Accent6 3 3" xfId="2505"/>
    <cellStyle name="40% - Accent6 4" xfId="1388"/>
    <cellStyle name="40% - Accent6 4 2" xfId="2530"/>
    <cellStyle name="60 % - Akzent1" xfId="121"/>
    <cellStyle name="60 % - Akzent2" xfId="122"/>
    <cellStyle name="60 % - Akzent3" xfId="123"/>
    <cellStyle name="60 % - Akzent4" xfId="124"/>
    <cellStyle name="60 % - Akzent5" xfId="125"/>
    <cellStyle name="60 % - Akzent6" xfId="126"/>
    <cellStyle name="60% - Accent1" xfId="17" builtinId="32" customBuiltin="1"/>
    <cellStyle name="60% - Accent1 2" xfId="191"/>
    <cellStyle name="60% - Accent1 3" xfId="1314"/>
    <cellStyle name="60% - Accent1 3 2" xfId="2428"/>
    <cellStyle name="60% - Accent1 4" xfId="1389"/>
    <cellStyle name="60% - Accent2" xfId="18" builtinId="36" customBuiltin="1"/>
    <cellStyle name="60% - Accent2 2" xfId="192"/>
    <cellStyle name="60% - Accent2 3" xfId="1315"/>
    <cellStyle name="60% - Accent2 3 2" xfId="2429"/>
    <cellStyle name="60% - Accent2 4" xfId="1390"/>
    <cellStyle name="60% - Accent3" xfId="19" builtinId="40" customBuiltin="1"/>
    <cellStyle name="60% - Accent3 2" xfId="193"/>
    <cellStyle name="60% - Accent3 3" xfId="1316"/>
    <cellStyle name="60% - Accent3 3 2" xfId="2430"/>
    <cellStyle name="60% - Accent3 4" xfId="1391"/>
    <cellStyle name="60% - Accent4" xfId="20" builtinId="44" customBuiltin="1"/>
    <cellStyle name="60% - Accent4 2" xfId="194"/>
    <cellStyle name="60% - Accent4 3" xfId="1317"/>
    <cellStyle name="60% - Accent4 3 2" xfId="2431"/>
    <cellStyle name="60% - Accent4 4" xfId="1392"/>
    <cellStyle name="60% - Accent5" xfId="21" builtinId="48" customBuiltin="1"/>
    <cellStyle name="60% - Accent5 2" xfId="195"/>
    <cellStyle name="60% - Accent5 3" xfId="1318"/>
    <cellStyle name="60% - Accent5 3 2" xfId="2432"/>
    <cellStyle name="60% - Accent5 4" xfId="1393"/>
    <cellStyle name="60% - Accent6" xfId="22" builtinId="52" customBuiltin="1"/>
    <cellStyle name="60% - Accent6 2" xfId="196"/>
    <cellStyle name="60% - Accent6 3" xfId="1319"/>
    <cellStyle name="60% - Accent6 3 2" xfId="2433"/>
    <cellStyle name="60% - Accent6 4" xfId="1394"/>
    <cellStyle name="Accent1" xfId="23" builtinId="29" customBuiltin="1"/>
    <cellStyle name="Accent1 - 20%" xfId="24"/>
    <cellStyle name="Accent1 - 40%" xfId="25"/>
    <cellStyle name="Accent1 - 60%" xfId="26"/>
    <cellStyle name="Accent1 10" xfId="197"/>
    <cellStyle name="Accent1 11" xfId="198"/>
    <cellStyle name="Accent1 12" xfId="199"/>
    <cellStyle name="Accent1 13" xfId="200"/>
    <cellStyle name="Accent1 14" xfId="201"/>
    <cellStyle name="Accent1 15" xfId="202"/>
    <cellStyle name="Accent1 16" xfId="203"/>
    <cellStyle name="Accent1 17" xfId="204"/>
    <cellStyle name="Accent1 18" xfId="205"/>
    <cellStyle name="Accent1 19" xfId="206"/>
    <cellStyle name="Accent1 2" xfId="207"/>
    <cellStyle name="Accent1 20" xfId="208"/>
    <cellStyle name="Accent1 21" xfId="209"/>
    <cellStyle name="Accent1 22" xfId="210"/>
    <cellStyle name="Accent1 23" xfId="211"/>
    <cellStyle name="Accent1 24" xfId="212"/>
    <cellStyle name="Accent1 25" xfId="1320"/>
    <cellStyle name="Accent1 25 2" xfId="2434"/>
    <cellStyle name="Accent1 26" xfId="1354"/>
    <cellStyle name="Accent1 26 2" xfId="2435"/>
    <cellStyle name="Accent1 27" xfId="1300"/>
    <cellStyle name="Accent1 27 2" xfId="2436"/>
    <cellStyle name="Accent1 28" xfId="1355"/>
    <cellStyle name="Accent1 28 2" xfId="2437"/>
    <cellStyle name="Accent1 29" xfId="1395"/>
    <cellStyle name="Accent1 3" xfId="213"/>
    <cellStyle name="Accent1 30" xfId="1396"/>
    <cellStyle name="Accent1 31" xfId="1397"/>
    <cellStyle name="Accent1 32" xfId="1398"/>
    <cellStyle name="Accent1 33" xfId="1399"/>
    <cellStyle name="Accent1 4" xfId="214"/>
    <cellStyle name="Accent1 5" xfId="215"/>
    <cellStyle name="Accent1 6" xfId="216"/>
    <cellStyle name="Accent1 7" xfId="217"/>
    <cellStyle name="Accent1 8" xfId="218"/>
    <cellStyle name="Accent1 9" xfId="219"/>
    <cellStyle name="Accent2" xfId="27" builtinId="33" customBuiltin="1"/>
    <cellStyle name="Accent2 - 20%" xfId="28"/>
    <cellStyle name="Accent2 - 40%" xfId="29"/>
    <cellStyle name="Accent2 - 60%" xfId="30"/>
    <cellStyle name="Accent2 10" xfId="220"/>
    <cellStyle name="Accent2 11" xfId="221"/>
    <cellStyle name="Accent2 12" xfId="222"/>
    <cellStyle name="Accent2 13" xfId="223"/>
    <cellStyle name="Accent2 14" xfId="224"/>
    <cellStyle name="Accent2 15" xfId="225"/>
    <cellStyle name="Accent2 16" xfId="226"/>
    <cellStyle name="Accent2 17" xfId="227"/>
    <cellStyle name="Accent2 18" xfId="228"/>
    <cellStyle name="Accent2 19" xfId="229"/>
    <cellStyle name="Accent2 2" xfId="230"/>
    <cellStyle name="Accent2 20" xfId="231"/>
    <cellStyle name="Accent2 21" xfId="232"/>
    <cellStyle name="Accent2 22" xfId="233"/>
    <cellStyle name="Accent2 23" xfId="234"/>
    <cellStyle name="Accent2 24" xfId="235"/>
    <cellStyle name="Accent2 25" xfId="1322"/>
    <cellStyle name="Accent2 25 2" xfId="2438"/>
    <cellStyle name="Accent2 26" xfId="1352"/>
    <cellStyle name="Accent2 26 2" xfId="2439"/>
    <cellStyle name="Accent2 27" xfId="1313"/>
    <cellStyle name="Accent2 27 2" xfId="2440"/>
    <cellStyle name="Accent2 28" xfId="1353"/>
    <cellStyle name="Accent2 28 2" xfId="2441"/>
    <cellStyle name="Accent2 29" xfId="1400"/>
    <cellStyle name="Accent2 3" xfId="236"/>
    <cellStyle name="Accent2 30" xfId="1401"/>
    <cellStyle name="Accent2 31" xfId="1402"/>
    <cellStyle name="Accent2 32" xfId="1403"/>
    <cellStyle name="Accent2 33" xfId="1404"/>
    <cellStyle name="Accent2 4" xfId="237"/>
    <cellStyle name="Accent2 5" xfId="238"/>
    <cellStyle name="Accent2 6" xfId="239"/>
    <cellStyle name="Accent2 7" xfId="240"/>
    <cellStyle name="Accent2 8" xfId="241"/>
    <cellStyle name="Accent2 9" xfId="242"/>
    <cellStyle name="Accent3" xfId="31" builtinId="37" customBuiltin="1"/>
    <cellStyle name="Accent3 - 20%" xfId="32"/>
    <cellStyle name="Accent3 - 40%" xfId="33"/>
    <cellStyle name="Accent3 - 60%" xfId="34"/>
    <cellStyle name="Accent3 10" xfId="243"/>
    <cellStyle name="Accent3 11" xfId="244"/>
    <cellStyle name="Accent3 12" xfId="245"/>
    <cellStyle name="Accent3 13" xfId="246"/>
    <cellStyle name="Accent3 14" xfId="247"/>
    <cellStyle name="Accent3 15" xfId="248"/>
    <cellStyle name="Accent3 16" xfId="249"/>
    <cellStyle name="Accent3 17" xfId="250"/>
    <cellStyle name="Accent3 18" xfId="251"/>
    <cellStyle name="Accent3 19" xfId="252"/>
    <cellStyle name="Accent3 2" xfId="253"/>
    <cellStyle name="Accent3 20" xfId="254"/>
    <cellStyle name="Accent3 21" xfId="255"/>
    <cellStyle name="Accent3 22" xfId="256"/>
    <cellStyle name="Accent3 23" xfId="257"/>
    <cellStyle name="Accent3 24" xfId="258"/>
    <cellStyle name="Accent3 25" xfId="1324"/>
    <cellStyle name="Accent3 25 2" xfId="2442"/>
    <cellStyle name="Accent3 26" xfId="1350"/>
    <cellStyle name="Accent3 26 2" xfId="2443"/>
    <cellStyle name="Accent3 27" xfId="1321"/>
    <cellStyle name="Accent3 27 2" xfId="2444"/>
    <cellStyle name="Accent3 28" xfId="1351"/>
    <cellStyle name="Accent3 28 2" xfId="2445"/>
    <cellStyle name="Accent3 29" xfId="1405"/>
    <cellStyle name="Accent3 3" xfId="259"/>
    <cellStyle name="Accent3 30" xfId="1406"/>
    <cellStyle name="Accent3 31" xfId="1407"/>
    <cellStyle name="Accent3 32" xfId="1408"/>
    <cellStyle name="Accent3 33" xfId="1409"/>
    <cellStyle name="Accent3 4" xfId="260"/>
    <cellStyle name="Accent3 5" xfId="261"/>
    <cellStyle name="Accent3 6" xfId="262"/>
    <cellStyle name="Accent3 7" xfId="263"/>
    <cellStyle name="Accent3 8" xfId="264"/>
    <cellStyle name="Accent3 9" xfId="265"/>
    <cellStyle name="Accent4" xfId="35" builtinId="41" customBuiltin="1"/>
    <cellStyle name="Accent4 - 20%" xfId="36"/>
    <cellStyle name="Accent4 - 40%" xfId="37"/>
    <cellStyle name="Accent4 - 60%" xfId="38"/>
    <cellStyle name="Accent4 10" xfId="266"/>
    <cellStyle name="Accent4 11" xfId="267"/>
    <cellStyle name="Accent4 12" xfId="268"/>
    <cellStyle name="Accent4 13" xfId="269"/>
    <cellStyle name="Accent4 14" xfId="270"/>
    <cellStyle name="Accent4 15" xfId="271"/>
    <cellStyle name="Accent4 16" xfId="272"/>
    <cellStyle name="Accent4 17" xfId="273"/>
    <cellStyle name="Accent4 18" xfId="274"/>
    <cellStyle name="Accent4 19" xfId="275"/>
    <cellStyle name="Accent4 2" xfId="276"/>
    <cellStyle name="Accent4 20" xfId="277"/>
    <cellStyle name="Accent4 21" xfId="278"/>
    <cellStyle name="Accent4 22" xfId="279"/>
    <cellStyle name="Accent4 23" xfId="280"/>
    <cellStyle name="Accent4 24" xfId="281"/>
    <cellStyle name="Accent4 25" xfId="1326"/>
    <cellStyle name="Accent4 25 2" xfId="2446"/>
    <cellStyle name="Accent4 26" xfId="1348"/>
    <cellStyle name="Accent4 26 2" xfId="2447"/>
    <cellStyle name="Accent4 27" xfId="1323"/>
    <cellStyle name="Accent4 27 2" xfId="2448"/>
    <cellStyle name="Accent4 28" xfId="1349"/>
    <cellStyle name="Accent4 28 2" xfId="2449"/>
    <cellStyle name="Accent4 29" xfId="1410"/>
    <cellStyle name="Accent4 3" xfId="282"/>
    <cellStyle name="Accent4 30" xfId="1411"/>
    <cellStyle name="Accent4 31" xfId="1412"/>
    <cellStyle name="Accent4 32" xfId="1413"/>
    <cellStyle name="Accent4 33" xfId="1414"/>
    <cellStyle name="Accent4 4" xfId="283"/>
    <cellStyle name="Accent4 5" xfId="284"/>
    <cellStyle name="Accent4 6" xfId="285"/>
    <cellStyle name="Accent4 7" xfId="286"/>
    <cellStyle name="Accent4 8" xfId="287"/>
    <cellStyle name="Accent4 9" xfId="288"/>
    <cellStyle name="Accent5" xfId="39" builtinId="45" customBuiltin="1"/>
    <cellStyle name="Accent5 - 20%" xfId="40"/>
    <cellStyle name="Accent5 - 40%" xfId="41"/>
    <cellStyle name="Accent5 - 60%" xfId="42"/>
    <cellStyle name="Accent5 10" xfId="289"/>
    <cellStyle name="Accent5 11" xfId="290"/>
    <cellStyle name="Accent5 12" xfId="291"/>
    <cellStyle name="Accent5 13" xfId="292"/>
    <cellStyle name="Accent5 14" xfId="293"/>
    <cellStyle name="Accent5 15" xfId="294"/>
    <cellStyle name="Accent5 16" xfId="295"/>
    <cellStyle name="Accent5 17" xfId="296"/>
    <cellStyle name="Accent5 18" xfId="297"/>
    <cellStyle name="Accent5 19" xfId="298"/>
    <cellStyle name="Accent5 2" xfId="299"/>
    <cellStyle name="Accent5 20" xfId="300"/>
    <cellStyle name="Accent5 21" xfId="301"/>
    <cellStyle name="Accent5 22" xfId="302"/>
    <cellStyle name="Accent5 23" xfId="303"/>
    <cellStyle name="Accent5 24" xfId="304"/>
    <cellStyle name="Accent5 25" xfId="1328"/>
    <cellStyle name="Accent5 25 2" xfId="2450"/>
    <cellStyle name="Accent5 26" xfId="1346"/>
    <cellStyle name="Accent5 26 2" xfId="2451"/>
    <cellStyle name="Accent5 27" xfId="1325"/>
    <cellStyle name="Accent5 27 2" xfId="2452"/>
    <cellStyle name="Accent5 28" xfId="1347"/>
    <cellStyle name="Accent5 28 2" xfId="2453"/>
    <cellStyle name="Accent5 29" xfId="1415"/>
    <cellStyle name="Accent5 3" xfId="305"/>
    <cellStyle name="Accent5 30" xfId="1416"/>
    <cellStyle name="Accent5 31" xfId="1417"/>
    <cellStyle name="Accent5 32" xfId="1418"/>
    <cellStyle name="Accent5 33" xfId="1419"/>
    <cellStyle name="Accent5 4" xfId="306"/>
    <cellStyle name="Accent5 5" xfId="307"/>
    <cellStyle name="Accent5 6" xfId="308"/>
    <cellStyle name="Accent5 7" xfId="309"/>
    <cellStyle name="Accent5 8" xfId="310"/>
    <cellStyle name="Accent5 9" xfId="311"/>
    <cellStyle name="Accent6" xfId="43" builtinId="49" customBuiltin="1"/>
    <cellStyle name="Accent6 - 20%" xfId="44"/>
    <cellStyle name="Accent6 - 40%" xfId="45"/>
    <cellStyle name="Accent6 - 60%" xfId="46"/>
    <cellStyle name="Accent6 10" xfId="312"/>
    <cellStyle name="Accent6 11" xfId="313"/>
    <cellStyle name="Accent6 12" xfId="314"/>
    <cellStyle name="Accent6 13" xfId="315"/>
    <cellStyle name="Accent6 14" xfId="316"/>
    <cellStyle name="Accent6 15" xfId="317"/>
    <cellStyle name="Accent6 16" xfId="318"/>
    <cellStyle name="Accent6 17" xfId="319"/>
    <cellStyle name="Accent6 18" xfId="320"/>
    <cellStyle name="Accent6 19" xfId="321"/>
    <cellStyle name="Accent6 2" xfId="322"/>
    <cellStyle name="Accent6 20" xfId="323"/>
    <cellStyle name="Accent6 21" xfId="324"/>
    <cellStyle name="Accent6 22" xfId="325"/>
    <cellStyle name="Accent6 23" xfId="326"/>
    <cellStyle name="Accent6 24" xfId="327"/>
    <cellStyle name="Accent6 25" xfId="1329"/>
    <cellStyle name="Accent6 25 2" xfId="2454"/>
    <cellStyle name="Accent6 26" xfId="1344"/>
    <cellStyle name="Accent6 26 2" xfId="2455"/>
    <cellStyle name="Accent6 27" xfId="1327"/>
    <cellStyle name="Accent6 27 2" xfId="2456"/>
    <cellStyle name="Accent6 28" xfId="1345"/>
    <cellStyle name="Accent6 28 2" xfId="2457"/>
    <cellStyle name="Accent6 29" xfId="1420"/>
    <cellStyle name="Accent6 3" xfId="328"/>
    <cellStyle name="Accent6 30" xfId="1421"/>
    <cellStyle name="Accent6 31" xfId="1422"/>
    <cellStyle name="Accent6 32" xfId="1423"/>
    <cellStyle name="Accent6 33" xfId="1424"/>
    <cellStyle name="Accent6 4" xfId="329"/>
    <cellStyle name="Accent6 5" xfId="330"/>
    <cellStyle name="Accent6 6" xfId="331"/>
    <cellStyle name="Accent6 7" xfId="332"/>
    <cellStyle name="Accent6 8" xfId="333"/>
    <cellStyle name="Accent6 9" xfId="334"/>
    <cellStyle name="Akzent1" xfId="127"/>
    <cellStyle name="Akzent2" xfId="128"/>
    <cellStyle name="Akzent3" xfId="129"/>
    <cellStyle name="Akzent4" xfId="130"/>
    <cellStyle name="Akzent5" xfId="131"/>
    <cellStyle name="Akzent6" xfId="132"/>
    <cellStyle name="Ausgabe" xfId="133"/>
    <cellStyle name="Ausgabe 2" xfId="1425"/>
    <cellStyle name="Bad" xfId="1291"/>
    <cellStyle name="Bad 2" xfId="134"/>
    <cellStyle name="Bad 2 2" xfId="1426"/>
    <cellStyle name="Bad 3" xfId="1427"/>
    <cellStyle name="Berechnung" xfId="135"/>
    <cellStyle name="Berechnung 2" xfId="1428"/>
    <cellStyle name="Berekening" xfId="1331" builtinId="22" customBuiltin="1"/>
    <cellStyle name="Berekening 10" xfId="1429"/>
    <cellStyle name="Berekening 2" xfId="335"/>
    <cellStyle name="Berekening 2 2" xfId="430"/>
    <cellStyle name="Berekening 2 2 2" xfId="1430"/>
    <cellStyle name="Berekening 2 3" xfId="554"/>
    <cellStyle name="Berekening 2 3 2" xfId="1431"/>
    <cellStyle name="Berekening 2 4" xfId="555"/>
    <cellStyle name="Berekening 2 4 2" xfId="1432"/>
    <cellStyle name="Berekening 2 5" xfId="556"/>
    <cellStyle name="Berekening 2 5 2" xfId="1433"/>
    <cellStyle name="Berekening 2 6" xfId="557"/>
    <cellStyle name="Berekening 2 6 2" xfId="1434"/>
    <cellStyle name="Berekening 2 7" xfId="1435"/>
    <cellStyle name="Berekening 2 7 2" xfId="1436"/>
    <cellStyle name="Berekening 3" xfId="558"/>
    <cellStyle name="Berekening 3 2" xfId="1437"/>
    <cellStyle name="Berekening 4" xfId="559"/>
    <cellStyle name="Berekening 4 2" xfId="1438"/>
    <cellStyle name="Berekening 5" xfId="560"/>
    <cellStyle name="Berekening 5 2" xfId="1439"/>
    <cellStyle name="Berekening 6" xfId="561"/>
    <cellStyle name="Berekening 6 2" xfId="1440"/>
    <cellStyle name="Berekening 7" xfId="562"/>
    <cellStyle name="Berekening 7 2" xfId="1441"/>
    <cellStyle name="Berekening 8" xfId="1330"/>
    <cellStyle name="Berekening 8 2" xfId="1442"/>
    <cellStyle name="Berekening 8 3" xfId="2458"/>
    <cellStyle name="Berekening 9" xfId="1443"/>
    <cellStyle name="Calculation 2" xfId="136"/>
    <cellStyle name="Calculation 2 2" xfId="431"/>
    <cellStyle name="Calculation 2 2 2" xfId="1444"/>
    <cellStyle name="Calculation 2 3" xfId="563"/>
    <cellStyle name="Calculation 2 3 2" xfId="1445"/>
    <cellStyle name="Calculation 2 4" xfId="564"/>
    <cellStyle name="Calculation 2 4 2" xfId="1446"/>
    <cellStyle name="Calculation 2 5" xfId="565"/>
    <cellStyle name="Calculation 2 5 2" xfId="1447"/>
    <cellStyle name="Calculation 2 6" xfId="566"/>
    <cellStyle name="Calculation 2 6 2" xfId="1448"/>
    <cellStyle name="Calculation 2 7" xfId="1449"/>
    <cellStyle name="Calculation 3" xfId="567"/>
    <cellStyle name="Calculation 3 2" xfId="1450"/>
    <cellStyle name="Calculation 4" xfId="568"/>
    <cellStyle name="Calculation 4 2" xfId="1451"/>
    <cellStyle name="Calculation 5" xfId="569"/>
    <cellStyle name="Calculation 5 2" xfId="1452"/>
    <cellStyle name="Calculation 6" xfId="570"/>
    <cellStyle name="Calculation 6 2" xfId="1453"/>
    <cellStyle name="Calculation 7" xfId="1454"/>
    <cellStyle name="Check Cell" xfId="1294"/>
    <cellStyle name="Check Cell 2" xfId="137"/>
    <cellStyle name="Check Cell 2 2" xfId="1455"/>
    <cellStyle name="Check Cell 3" xfId="1456"/>
    <cellStyle name="Controlecel 2" xfId="336"/>
    <cellStyle name="Controlecel 3" xfId="1457"/>
    <cellStyle name="Eingabe" xfId="138"/>
    <cellStyle name="Eingabe 2" xfId="1458"/>
    <cellStyle name="Emphasis 1" xfId="47"/>
    <cellStyle name="Emphasis 2" xfId="48"/>
    <cellStyle name="Emphasis 3" xfId="49"/>
    <cellStyle name="Ergebnis" xfId="139"/>
    <cellStyle name="Ergebnis 2" xfId="1459"/>
    <cellStyle name="Erklärender Text" xfId="140"/>
    <cellStyle name="Euro" xfId="50"/>
    <cellStyle name="Euro 2" xfId="141"/>
    <cellStyle name="Euro 2 2" xfId="413"/>
    <cellStyle name="Euro 2 3" xfId="572"/>
    <cellStyle name="Euro 3" xfId="571"/>
    <cellStyle name="Euro 4" xfId="1332"/>
    <cellStyle name="Explanatory Text" xfId="1295"/>
    <cellStyle name="Explanatory Text 2" xfId="142"/>
    <cellStyle name="Explanatory Text 2 2" xfId="1460"/>
    <cellStyle name="Explanatory Text 3" xfId="1461"/>
    <cellStyle name="Gekoppelde cel" xfId="1338" builtinId="24" customBuiltin="1"/>
    <cellStyle name="Gekoppelde cel 2" xfId="337"/>
    <cellStyle name="Gekoppelde cel 2 2" xfId="1462"/>
    <cellStyle name="Gekoppelde cel 3" xfId="1333"/>
    <cellStyle name="Gekoppelde cel 3 2" xfId="1463"/>
    <cellStyle name="Gekoppelde cel 3 3" xfId="2459"/>
    <cellStyle name="Gekoppelde cel 4" xfId="1464"/>
    <cellStyle name="Gekoppelde cel 5" xfId="1465"/>
    <cellStyle name="Goed" xfId="1335" builtinId="26" customBuiltin="1"/>
    <cellStyle name="Goed 2" xfId="338"/>
    <cellStyle name="Goed 2 2" xfId="1466"/>
    <cellStyle name="Goed 3" xfId="1334"/>
    <cellStyle name="Goed 3 2" xfId="1467"/>
    <cellStyle name="Goed 3 3" xfId="2460"/>
    <cellStyle name="Goed 4" xfId="1468"/>
    <cellStyle name="Goed 5" xfId="1469"/>
    <cellStyle name="Good 2" xfId="143"/>
    <cellStyle name="Good 3" xfId="2461"/>
    <cellStyle name="Gut" xfId="144"/>
    <cellStyle name="Header" xfId="145"/>
    <cellStyle name="Heading 1" xfId="1287"/>
    <cellStyle name="Heading 1 2" xfId="146"/>
    <cellStyle name="Heading 1 2 2" xfId="1470"/>
    <cellStyle name="Heading 1 3" xfId="1471"/>
    <cellStyle name="Heading 2" xfId="1288"/>
    <cellStyle name="Heading 2 2" xfId="147"/>
    <cellStyle name="Heading 2 2 2" xfId="1472"/>
    <cellStyle name="Heading 2 3" xfId="1473"/>
    <cellStyle name="Heading 3" xfId="1289"/>
    <cellStyle name="Heading 3 2" xfId="148"/>
    <cellStyle name="Heading 3 2 2" xfId="1474"/>
    <cellStyle name="Heading 3 3" xfId="1475"/>
    <cellStyle name="Heading 4" xfId="1290"/>
    <cellStyle name="Heading 4 2" xfId="149"/>
    <cellStyle name="Heading 4 2 2" xfId="1476"/>
    <cellStyle name="Heading 4 3" xfId="1477"/>
    <cellStyle name="Hyperlink" xfId="1284" builtinId="8"/>
    <cellStyle name="Hyperlink 2" xfId="432"/>
    <cellStyle name="Hyperlink 3" xfId="573"/>
    <cellStyle name="Hyperlink 4" xfId="1478"/>
    <cellStyle name="Input" xfId="1292"/>
    <cellStyle name="Input 2" xfId="150"/>
    <cellStyle name="Input 2 2" xfId="433"/>
    <cellStyle name="Input 2 2 2" xfId="1479"/>
    <cellStyle name="Input 2 3" xfId="574"/>
    <cellStyle name="Input 2 3 2" xfId="1480"/>
    <cellStyle name="Input 2 4" xfId="575"/>
    <cellStyle name="Input 2 4 2" xfId="1481"/>
    <cellStyle name="Input 2 5" xfId="576"/>
    <cellStyle name="Input 2 5 2" xfId="1482"/>
    <cellStyle name="Input 2 6" xfId="577"/>
    <cellStyle name="Input 2 6 2" xfId="1483"/>
    <cellStyle name="Input 2 7" xfId="1484"/>
    <cellStyle name="Input 3" xfId="578"/>
    <cellStyle name="Input 3 2" xfId="1485"/>
    <cellStyle name="Input 4" xfId="579"/>
    <cellStyle name="Input 4 2" xfId="1486"/>
    <cellStyle name="Input 5" xfId="580"/>
    <cellStyle name="Input 5 2" xfId="1487"/>
    <cellStyle name="Input 6" xfId="581"/>
    <cellStyle name="Input 6 2" xfId="1488"/>
    <cellStyle name="Input 7" xfId="1489"/>
    <cellStyle name="Invoer 2" xfId="339"/>
    <cellStyle name="Invoer 2 2" xfId="434"/>
    <cellStyle name="Invoer 2 2 2" xfId="1490"/>
    <cellStyle name="Invoer 2 3" xfId="582"/>
    <cellStyle name="Invoer 2 3 2" xfId="1491"/>
    <cellStyle name="Invoer 2 4" xfId="583"/>
    <cellStyle name="Invoer 2 4 2" xfId="1492"/>
    <cellStyle name="Invoer 2 5" xfId="584"/>
    <cellStyle name="Invoer 2 5 2" xfId="1493"/>
    <cellStyle name="Invoer 2 6" xfId="585"/>
    <cellStyle name="Invoer 2 6 2" xfId="1494"/>
    <cellStyle name="Invoer 2 7" xfId="1495"/>
    <cellStyle name="Invoer 3" xfId="586"/>
    <cellStyle name="Invoer 3 2" xfId="1496"/>
    <cellStyle name="Invoer 4" xfId="587"/>
    <cellStyle name="Invoer 4 2" xfId="1497"/>
    <cellStyle name="Invoer 5" xfId="588"/>
    <cellStyle name="Invoer 5 2" xfId="1498"/>
    <cellStyle name="Invoer 6" xfId="589"/>
    <cellStyle name="Invoer 6 2" xfId="1499"/>
    <cellStyle name="Invoer 7" xfId="590"/>
    <cellStyle name="Invoer 7 2" xfId="1500"/>
    <cellStyle name="Invoer 8" xfId="1501"/>
    <cellStyle name="Komma" xfId="51" builtinId="3"/>
    <cellStyle name="Komma 10" xfId="435"/>
    <cellStyle name="Komma 13" xfId="436"/>
    <cellStyle name="Komma 2" xfId="151"/>
    <cellStyle name="Komma 2 2" xfId="177"/>
    <cellStyle name="Komma 2 3" xfId="437"/>
    <cellStyle name="Komma 3" xfId="340"/>
    <cellStyle name="Komma 3 2" xfId="438"/>
    <cellStyle name="Komma 3 3" xfId="591"/>
    <cellStyle name="Komma 3 4" xfId="1336"/>
    <cellStyle name="Komma 3 4 2" xfId="2462"/>
    <cellStyle name="Komma 3 4 2 2" xfId="2545"/>
    <cellStyle name="Komma 3 4 3" xfId="2484"/>
    <cellStyle name="Komma 3 4 3 2" xfId="2557"/>
    <cellStyle name="Komma 3 4 4" xfId="2506"/>
    <cellStyle name="Komma 4" xfId="439"/>
    <cellStyle name="Komma 4 2" xfId="1502"/>
    <cellStyle name="Komma 4 2 2" xfId="2463"/>
    <cellStyle name="Komma 4 2 2 2" xfId="2546"/>
    <cellStyle name="Komma 4 2 3" xfId="2485"/>
    <cellStyle name="Komma 4 2 3 2" xfId="2558"/>
    <cellStyle name="Komma 4 2 4" xfId="2531"/>
    <cellStyle name="Komma 5" xfId="440"/>
    <cellStyle name="Komma 5 2" xfId="1503"/>
    <cellStyle name="Komma 6" xfId="441"/>
    <cellStyle name="Komma 7" xfId="442"/>
    <cellStyle name="Komma 8" xfId="1337"/>
    <cellStyle name="Komma 8 2" xfId="1504"/>
    <cellStyle name="Komma 8 2 2" xfId="2532"/>
    <cellStyle name="Komma 8 3" xfId="2464"/>
    <cellStyle name="Komma 8 4" xfId="2507"/>
    <cellStyle name="Komma 9" xfId="1285"/>
    <cellStyle name="Komma 9 2" xfId="1505"/>
    <cellStyle name="Kop 1 2" xfId="341"/>
    <cellStyle name="Kop 1 3" xfId="1506"/>
    <cellStyle name="Kop 2 2" xfId="342"/>
    <cellStyle name="Kop 2 3" xfId="1507"/>
    <cellStyle name="Kop 3 2" xfId="343"/>
    <cellStyle name="Kop 3 3" xfId="1508"/>
    <cellStyle name="Kop 4 2" xfId="344"/>
    <cellStyle name="Kop 4 3" xfId="1509"/>
    <cellStyle name="Linked Cell 2" xfId="152"/>
    <cellStyle name="Linked Cell 3" xfId="2465"/>
    <cellStyle name="MAND_x000a_CHECK.COMMAND_x000e_RENAME.COMMAND_x0008_SHOW.BAR_x000b_DELETE.MENU_x000e_DELETE.COMMAND_x000e_GET.CHA" xfId="52"/>
    <cellStyle name="MAND_x000a_CHECK.COMMAND_x000e_RENAME.COMMAND_x0008_SHOW.BAR_x000b_DELETE.MENU_x000e_DELETE.COMMAND_x000e_GET.CHA 2" xfId="153"/>
    <cellStyle name="MAND_x000a_CHECK.COMMAND_x000e_RENAME.COMMAND_x0008_SHOW.BAR_x000b_DELETE.MENU_x000e_DELETE.COMMAND_x000e_GET.CHA 2 2" xfId="414"/>
    <cellStyle name="MAND_x000a_CHECK.COMMAND_x000e_RENAME.COMMAND_x0008_SHOW.BAR_x000b_DELETE.MENU_x000e_DELETE.COMMAND_x000e_GET.CHA 3" xfId="345"/>
    <cellStyle name="MAND_x000a_CHECK.COMMAND_x000e_RENAME.COMMAND_x0008_SHOW.BAR_x000b_DELETE.MENU_x000e_DELETE.COMMAND_x000e_GET.CHA 4" xfId="443"/>
    <cellStyle name="MAND_x000a_CHECK.COMMAND_x000e_RENAME.COMMAND_x0008_SHOW.BAR_x000b_DELETE.MENU_x000e_DELETE.COMMAND_x000e_GET.CHA_20110907_GAW_mb_def" xfId="1339"/>
    <cellStyle name="Neutraal" xfId="1341" builtinId="28" customBuiltin="1"/>
    <cellStyle name="Neutraal 2" xfId="346"/>
    <cellStyle name="Neutraal 2 2" xfId="1510"/>
    <cellStyle name="Neutraal 3" xfId="1340"/>
    <cellStyle name="Neutraal 3 2" xfId="1511"/>
    <cellStyle name="Neutraal 3 3" xfId="2466"/>
    <cellStyle name="Neutraal 4" xfId="1512"/>
    <cellStyle name="Neutraal 5" xfId="1513"/>
    <cellStyle name="Neutral 2" xfId="154"/>
    <cellStyle name="Neutral 3" xfId="2467"/>
    <cellStyle name="Normal_160704 Gasunie Asset model_110920 Berekening CAPEX UI, etc.." xfId="53"/>
    <cellStyle name="Note" xfId="54"/>
    <cellStyle name="Note 2" xfId="155"/>
    <cellStyle name="Note 2 2" xfId="415"/>
    <cellStyle name="Note 2 2 2" xfId="592"/>
    <cellStyle name="Note 2 2 2 2" xfId="1514"/>
    <cellStyle name="Note 2 2 3" xfId="1515"/>
    <cellStyle name="Note 2 3" xfId="444"/>
    <cellStyle name="Note 2 3 2" xfId="1516"/>
    <cellStyle name="Note 2 4" xfId="593"/>
    <cellStyle name="Note 2 4 2" xfId="1517"/>
    <cellStyle name="Note 2 5" xfId="594"/>
    <cellStyle name="Note 2 5 2" xfId="1518"/>
    <cellStyle name="Note 2 6" xfId="595"/>
    <cellStyle name="Note 2 6 2" xfId="1519"/>
    <cellStyle name="Note 2 7" xfId="1520"/>
    <cellStyle name="Note 3" xfId="596"/>
    <cellStyle name="Note 3 2" xfId="1521"/>
    <cellStyle name="Note 4" xfId="597"/>
    <cellStyle name="Note 4 2" xfId="1522"/>
    <cellStyle name="Note 5" xfId="598"/>
    <cellStyle name="Note 5 2" xfId="1523"/>
    <cellStyle name="Note 6" xfId="599"/>
    <cellStyle name="Note 6 2" xfId="1524"/>
    <cellStyle name="Note 7" xfId="1525"/>
    <cellStyle name="Notitie 2" xfId="347"/>
    <cellStyle name="Notitie 2 2" xfId="445"/>
    <cellStyle name="Notitie 2 2 2" xfId="600"/>
    <cellStyle name="Notitie 2 2 2 2" xfId="1526"/>
    <cellStyle name="Notitie 2 2 3" xfId="601"/>
    <cellStyle name="Notitie 2 2 3 2" xfId="1527"/>
    <cellStyle name="Notitie 2 2 4" xfId="602"/>
    <cellStyle name="Notitie 2 2 4 2" xfId="1528"/>
    <cellStyle name="Notitie 2 2 5" xfId="603"/>
    <cellStyle name="Notitie 2 2 5 2" xfId="1529"/>
    <cellStyle name="Notitie 2 2 6" xfId="604"/>
    <cellStyle name="Notitie 2 2 6 2" xfId="1530"/>
    <cellStyle name="Notitie 2 2 7" xfId="1531"/>
    <cellStyle name="Notitie 2 3" xfId="605"/>
    <cellStyle name="Notitie 2 3 2" xfId="1532"/>
    <cellStyle name="Notitie 2 4" xfId="606"/>
    <cellStyle name="Notitie 2 4 2" xfId="1533"/>
    <cellStyle name="Notitie 2 5" xfId="607"/>
    <cellStyle name="Notitie 2 5 2" xfId="1534"/>
    <cellStyle name="Notitie 2 6" xfId="608"/>
    <cellStyle name="Notitie 2 6 2" xfId="1535"/>
    <cellStyle name="Notitie 2 7" xfId="1536"/>
    <cellStyle name="Notitie 3" xfId="348"/>
    <cellStyle name="Notitie 3 2" xfId="446"/>
    <cellStyle name="Notitie 3 2 2" xfId="1537"/>
    <cellStyle name="Notitie 3 3" xfId="609"/>
    <cellStyle name="Notitie 3 3 2" xfId="1538"/>
    <cellStyle name="Notitie 3 4" xfId="610"/>
    <cellStyle name="Notitie 3 4 2" xfId="1539"/>
    <cellStyle name="Notitie 3 5" xfId="611"/>
    <cellStyle name="Notitie 3 5 2" xfId="1540"/>
    <cellStyle name="Notitie 3 6" xfId="612"/>
    <cellStyle name="Notitie 3 6 2" xfId="1541"/>
    <cellStyle name="Notitie 3 7" xfId="1542"/>
    <cellStyle name="Notitie 4" xfId="349"/>
    <cellStyle name="Notitie 4 2" xfId="1543"/>
    <cellStyle name="Notitie 5" xfId="447"/>
    <cellStyle name="Notitie 5 2" xfId="1544"/>
    <cellStyle name="Notitie 6" xfId="613"/>
    <cellStyle name="Notitie 6 2" xfId="1545"/>
    <cellStyle name="Notitie 7" xfId="614"/>
    <cellStyle name="Notitie 7 2" xfId="1546"/>
    <cellStyle name="Notitie 8" xfId="1342"/>
    <cellStyle name="Notitie 8 2" xfId="1547"/>
    <cellStyle name="Notitie 8 2 2" xfId="2533"/>
    <cellStyle name="Notitie 8 3" xfId="2468"/>
    <cellStyle name="Notitie 8 4" xfId="2508"/>
    <cellStyle name="Notitie 9" xfId="1548"/>
    <cellStyle name="Notitie 9 2" xfId="2534"/>
    <cellStyle name="Notiz" xfId="156"/>
    <cellStyle name="Notiz 2" xfId="1549"/>
    <cellStyle name="Ongeldig 2" xfId="350"/>
    <cellStyle name="Ongeldig 3" xfId="1550"/>
    <cellStyle name="Output" xfId="1293"/>
    <cellStyle name="Output 2" xfId="157"/>
    <cellStyle name="Output 2 2" xfId="448"/>
    <cellStyle name="Output 2 2 2" xfId="1551"/>
    <cellStyle name="Output 2 3" xfId="615"/>
    <cellStyle name="Output 2 3 2" xfId="1552"/>
    <cellStyle name="Output 2 4" xfId="616"/>
    <cellStyle name="Output 2 4 2" xfId="1553"/>
    <cellStyle name="Output 2 5" xfId="617"/>
    <cellStyle name="Output 2 5 2" xfId="1554"/>
    <cellStyle name="Output 2 6" xfId="618"/>
    <cellStyle name="Output 2 6 2" xfId="1555"/>
    <cellStyle name="Output 2 7" xfId="1556"/>
    <cellStyle name="Output 3" xfId="619"/>
    <cellStyle name="Output 3 2" xfId="1557"/>
    <cellStyle name="Output 4" xfId="620"/>
    <cellStyle name="Output 4 2" xfId="1558"/>
    <cellStyle name="Output 5" xfId="621"/>
    <cellStyle name="Output 5 2" xfId="1559"/>
    <cellStyle name="Output 6" xfId="622"/>
    <cellStyle name="Output 6 2" xfId="1560"/>
    <cellStyle name="Output 7" xfId="1561"/>
    <cellStyle name="Percentages_oorzaken" xfId="449"/>
    <cellStyle name="Procent" xfId="55" builtinId="5"/>
    <cellStyle name="Procent 2" xfId="158"/>
    <cellStyle name="Procent 2 2" xfId="351"/>
    <cellStyle name="Procent 3" xfId="450"/>
    <cellStyle name="Procent 3 2" xfId="1562"/>
    <cellStyle name="Procent 4" xfId="1286"/>
    <cellStyle name="Procent 4 2" xfId="1343"/>
    <cellStyle name="Procent 4 2 2" xfId="2509"/>
    <cellStyle name="Procent 5" xfId="1563"/>
    <cellStyle name="Procent 6" xfId="1564"/>
    <cellStyle name="Procent 6 2" xfId="2535"/>
    <cellStyle name="Ratio" xfId="159"/>
    <cellStyle name="SAPBEXaggData" xfId="56"/>
    <cellStyle name="SAPBEXaggData 2" xfId="352"/>
    <cellStyle name="SAPBEXaggData 2 2" xfId="451"/>
    <cellStyle name="SAPBEXaggData 2 2 2" xfId="624"/>
    <cellStyle name="SAPBEXaggData 2 2 2 2" xfId="1565"/>
    <cellStyle name="SAPBEXaggData 2 2 3" xfId="625"/>
    <cellStyle name="SAPBEXaggData 2 2 3 2" xfId="1566"/>
    <cellStyle name="SAPBEXaggData 2 2 4" xfId="626"/>
    <cellStyle name="SAPBEXaggData 2 2 4 2" xfId="1567"/>
    <cellStyle name="SAPBEXaggData 2 2 5" xfId="627"/>
    <cellStyle name="SAPBEXaggData 2 2 5 2" xfId="1568"/>
    <cellStyle name="SAPBEXaggData 2 2 6" xfId="628"/>
    <cellStyle name="SAPBEXaggData 2 2 6 2" xfId="1569"/>
    <cellStyle name="SAPBEXaggData 2 2 7" xfId="1570"/>
    <cellStyle name="SAPBEXaggData 2 3" xfId="629"/>
    <cellStyle name="SAPBEXaggData 2 3 2" xfId="1571"/>
    <cellStyle name="SAPBEXaggData 2 4" xfId="630"/>
    <cellStyle name="SAPBEXaggData 2 4 2" xfId="1572"/>
    <cellStyle name="SAPBEXaggData 2 5" xfId="631"/>
    <cellStyle name="SAPBEXaggData 2 5 2" xfId="1573"/>
    <cellStyle name="SAPBEXaggData 2 6" xfId="632"/>
    <cellStyle name="SAPBEXaggData 2 6 2" xfId="1574"/>
    <cellStyle name="SAPBEXaggData 2 7" xfId="1575"/>
    <cellStyle name="SAPBEXaggData 2 7 2" xfId="1576"/>
    <cellStyle name="SAPBEXaggData 3" xfId="452"/>
    <cellStyle name="SAPBEXaggData 3 2" xfId="633"/>
    <cellStyle name="SAPBEXaggData 3 2 2" xfId="1577"/>
    <cellStyle name="SAPBEXaggData 3 3" xfId="634"/>
    <cellStyle name="SAPBEXaggData 3 3 2" xfId="1578"/>
    <cellStyle name="SAPBEXaggData 3 4" xfId="635"/>
    <cellStyle name="SAPBEXaggData 3 4 2" xfId="1579"/>
    <cellStyle name="SAPBEXaggData 3 5" xfId="636"/>
    <cellStyle name="SAPBEXaggData 3 5 2" xfId="1580"/>
    <cellStyle name="SAPBEXaggData 3 6" xfId="637"/>
    <cellStyle name="SAPBEXaggData 3 6 2" xfId="1581"/>
    <cellStyle name="SAPBEXaggData 3 7" xfId="1582"/>
    <cellStyle name="SAPBEXaggData 4" xfId="638"/>
    <cellStyle name="SAPBEXaggData 4 2" xfId="1583"/>
    <cellStyle name="SAPBEXaggData 5" xfId="639"/>
    <cellStyle name="SAPBEXaggData 5 2" xfId="1584"/>
    <cellStyle name="SAPBEXaggData 6" xfId="640"/>
    <cellStyle name="SAPBEXaggData 6 2" xfId="1585"/>
    <cellStyle name="SAPBEXaggData 7" xfId="641"/>
    <cellStyle name="SAPBEXaggData 7 2" xfId="1586"/>
    <cellStyle name="SAPBEXaggData 8" xfId="623"/>
    <cellStyle name="SAPBEXaggData 8 2" xfId="1587"/>
    <cellStyle name="SAPBEXaggData 9" xfId="1588"/>
    <cellStyle name="SAPBEXaggData 9 2" xfId="1589"/>
    <cellStyle name="SAPBEXaggData_20120921_SF-grote-ronde-Liesbethdump2" xfId="353"/>
    <cellStyle name="SAPBEXaggDataEmph" xfId="57"/>
    <cellStyle name="SAPBEXaggDataEmph 2" xfId="354"/>
    <cellStyle name="SAPBEXaggDataEmph 2 2" xfId="453"/>
    <cellStyle name="SAPBEXaggDataEmph 2 2 2" xfId="643"/>
    <cellStyle name="SAPBEXaggDataEmph 2 2 2 2" xfId="1590"/>
    <cellStyle name="SAPBEXaggDataEmph 2 2 3" xfId="644"/>
    <cellStyle name="SAPBEXaggDataEmph 2 2 3 2" xfId="1591"/>
    <cellStyle name="SAPBEXaggDataEmph 2 2 4" xfId="645"/>
    <cellStyle name="SAPBEXaggDataEmph 2 2 4 2" xfId="1592"/>
    <cellStyle name="SAPBEXaggDataEmph 2 2 5" xfId="646"/>
    <cellStyle name="SAPBEXaggDataEmph 2 2 5 2" xfId="1593"/>
    <cellStyle name="SAPBEXaggDataEmph 2 2 6" xfId="647"/>
    <cellStyle name="SAPBEXaggDataEmph 2 2 6 2" xfId="1594"/>
    <cellStyle name="SAPBEXaggDataEmph 2 2 7" xfId="1595"/>
    <cellStyle name="SAPBEXaggDataEmph 2 3" xfId="648"/>
    <cellStyle name="SAPBEXaggDataEmph 2 3 2" xfId="1596"/>
    <cellStyle name="SAPBEXaggDataEmph 2 4" xfId="649"/>
    <cellStyle name="SAPBEXaggDataEmph 2 4 2" xfId="1597"/>
    <cellStyle name="SAPBEXaggDataEmph 2 5" xfId="650"/>
    <cellStyle name="SAPBEXaggDataEmph 2 5 2" xfId="1598"/>
    <cellStyle name="SAPBEXaggDataEmph 2 6" xfId="651"/>
    <cellStyle name="SAPBEXaggDataEmph 2 6 2" xfId="1599"/>
    <cellStyle name="SAPBEXaggDataEmph 2 7" xfId="1600"/>
    <cellStyle name="SAPBEXaggDataEmph 3" xfId="454"/>
    <cellStyle name="SAPBEXaggDataEmph 3 2" xfId="652"/>
    <cellStyle name="SAPBEXaggDataEmph 3 2 2" xfId="1601"/>
    <cellStyle name="SAPBEXaggDataEmph 3 3" xfId="653"/>
    <cellStyle name="SAPBEXaggDataEmph 3 3 2" xfId="1602"/>
    <cellStyle name="SAPBEXaggDataEmph 3 4" xfId="654"/>
    <cellStyle name="SAPBEXaggDataEmph 3 4 2" xfId="1603"/>
    <cellStyle name="SAPBEXaggDataEmph 3 5" xfId="655"/>
    <cellStyle name="SAPBEXaggDataEmph 3 5 2" xfId="1604"/>
    <cellStyle name="SAPBEXaggDataEmph 3 6" xfId="656"/>
    <cellStyle name="SAPBEXaggDataEmph 3 6 2" xfId="1605"/>
    <cellStyle name="SAPBEXaggDataEmph 3 7" xfId="1606"/>
    <cellStyle name="SAPBEXaggDataEmph 4" xfId="657"/>
    <cellStyle name="SAPBEXaggDataEmph 4 2" xfId="1607"/>
    <cellStyle name="SAPBEXaggDataEmph 5" xfId="658"/>
    <cellStyle name="SAPBEXaggDataEmph 5 2" xfId="1608"/>
    <cellStyle name="SAPBEXaggDataEmph 6" xfId="659"/>
    <cellStyle name="SAPBEXaggDataEmph 6 2" xfId="1609"/>
    <cellStyle name="SAPBEXaggDataEmph 7" xfId="660"/>
    <cellStyle name="SAPBEXaggDataEmph 7 2" xfId="1610"/>
    <cellStyle name="SAPBEXaggDataEmph 8" xfId="642"/>
    <cellStyle name="SAPBEXaggDataEmph 8 2" xfId="1611"/>
    <cellStyle name="SAPBEXaggDataEmph 9" xfId="1612"/>
    <cellStyle name="SAPBEXaggDataEmph 9 2" xfId="1613"/>
    <cellStyle name="SAPBEXaggDataEmph_20120921_SF-grote-ronde-Liesbethdump2" xfId="355"/>
    <cellStyle name="SAPBEXaggItem" xfId="58"/>
    <cellStyle name="SAPBEXaggItem 2" xfId="356"/>
    <cellStyle name="SAPBEXaggItem 2 2" xfId="455"/>
    <cellStyle name="SAPBEXaggItem 2 2 2" xfId="662"/>
    <cellStyle name="SAPBEXaggItem 2 2 2 2" xfId="1614"/>
    <cellStyle name="SAPBEXaggItem 2 2 3" xfId="663"/>
    <cellStyle name="SAPBEXaggItem 2 2 3 2" xfId="1615"/>
    <cellStyle name="SAPBEXaggItem 2 2 4" xfId="664"/>
    <cellStyle name="SAPBEXaggItem 2 2 4 2" xfId="1616"/>
    <cellStyle name="SAPBEXaggItem 2 2 5" xfId="665"/>
    <cellStyle name="SAPBEXaggItem 2 2 5 2" xfId="1617"/>
    <cellStyle name="SAPBEXaggItem 2 2 6" xfId="666"/>
    <cellStyle name="SAPBEXaggItem 2 2 6 2" xfId="1618"/>
    <cellStyle name="SAPBEXaggItem 2 2 7" xfId="1619"/>
    <cellStyle name="SAPBEXaggItem 2 3" xfId="667"/>
    <cellStyle name="SAPBEXaggItem 2 3 2" xfId="1620"/>
    <cellStyle name="SAPBEXaggItem 2 4" xfId="668"/>
    <cellStyle name="SAPBEXaggItem 2 4 2" xfId="1621"/>
    <cellStyle name="SAPBEXaggItem 2 5" xfId="669"/>
    <cellStyle name="SAPBEXaggItem 2 5 2" xfId="1622"/>
    <cellStyle name="SAPBEXaggItem 2 6" xfId="670"/>
    <cellStyle name="SAPBEXaggItem 2 6 2" xfId="1623"/>
    <cellStyle name="SAPBEXaggItem 2 7" xfId="1624"/>
    <cellStyle name="SAPBEXaggItem 2 7 2" xfId="1625"/>
    <cellStyle name="SAPBEXaggItem 3" xfId="456"/>
    <cellStyle name="SAPBEXaggItem 3 2" xfId="671"/>
    <cellStyle name="SAPBEXaggItem 3 2 2" xfId="1626"/>
    <cellStyle name="SAPBEXaggItem 3 3" xfId="672"/>
    <cellStyle name="SAPBEXaggItem 3 3 2" xfId="1627"/>
    <cellStyle name="SAPBEXaggItem 3 4" xfId="673"/>
    <cellStyle name="SAPBEXaggItem 3 4 2" xfId="1628"/>
    <cellStyle name="SAPBEXaggItem 3 5" xfId="674"/>
    <cellStyle name="SAPBEXaggItem 3 5 2" xfId="1629"/>
    <cellStyle name="SAPBEXaggItem 3 6" xfId="675"/>
    <cellStyle name="SAPBEXaggItem 3 6 2" xfId="1630"/>
    <cellStyle name="SAPBEXaggItem 3 7" xfId="1631"/>
    <cellStyle name="SAPBEXaggItem 4" xfId="676"/>
    <cellStyle name="SAPBEXaggItem 4 2" xfId="1632"/>
    <cellStyle name="SAPBEXaggItem 5" xfId="677"/>
    <cellStyle name="SAPBEXaggItem 5 2" xfId="1633"/>
    <cellStyle name="SAPBEXaggItem 6" xfId="678"/>
    <cellStyle name="SAPBEXaggItem 6 2" xfId="1634"/>
    <cellStyle name="SAPBEXaggItem 7" xfId="679"/>
    <cellStyle name="SAPBEXaggItem 7 2" xfId="1635"/>
    <cellStyle name="SAPBEXaggItem 8" xfId="661"/>
    <cellStyle name="SAPBEXaggItem 8 2" xfId="1636"/>
    <cellStyle name="SAPBEXaggItem 9" xfId="1637"/>
    <cellStyle name="SAPBEXaggItem 9 2" xfId="1638"/>
    <cellStyle name="SAPBEXaggItem_20120921_SF-grote-ronde-Liesbethdump2" xfId="357"/>
    <cellStyle name="SAPBEXaggItemX" xfId="59"/>
    <cellStyle name="SAPBEXaggItemX 2" xfId="457"/>
    <cellStyle name="SAPBEXaggItemX 2 2" xfId="681"/>
    <cellStyle name="SAPBEXaggItemX 2 2 2" xfId="1639"/>
    <cellStyle name="SAPBEXaggItemX 2 3" xfId="682"/>
    <cellStyle name="SAPBEXaggItemX 2 3 2" xfId="1640"/>
    <cellStyle name="SAPBEXaggItemX 2 4" xfId="683"/>
    <cellStyle name="SAPBEXaggItemX 2 4 2" xfId="1641"/>
    <cellStyle name="SAPBEXaggItemX 2 5" xfId="684"/>
    <cellStyle name="SAPBEXaggItemX 2 5 2" xfId="1642"/>
    <cellStyle name="SAPBEXaggItemX 2 6" xfId="685"/>
    <cellStyle name="SAPBEXaggItemX 2 6 2" xfId="1643"/>
    <cellStyle name="SAPBEXaggItemX 2 7" xfId="1644"/>
    <cellStyle name="SAPBEXaggItemX 3" xfId="686"/>
    <cellStyle name="SAPBEXaggItemX 3 2" xfId="1645"/>
    <cellStyle name="SAPBEXaggItemX 4" xfId="687"/>
    <cellStyle name="SAPBEXaggItemX 4 2" xfId="1646"/>
    <cellStyle name="SAPBEXaggItemX 5" xfId="688"/>
    <cellStyle name="SAPBEXaggItemX 5 2" xfId="1647"/>
    <cellStyle name="SAPBEXaggItemX 6" xfId="689"/>
    <cellStyle name="SAPBEXaggItemX 6 2" xfId="1648"/>
    <cellStyle name="SAPBEXaggItemX 7" xfId="690"/>
    <cellStyle name="SAPBEXaggItemX 7 2" xfId="1649"/>
    <cellStyle name="SAPBEXaggItemX 8" xfId="680"/>
    <cellStyle name="SAPBEXaggItemX 8 2" xfId="1650"/>
    <cellStyle name="SAPBEXaggItemX 9" xfId="1651"/>
    <cellStyle name="SAPBEXaggItemX 9 2" xfId="1652"/>
    <cellStyle name="SAPBEXchaText" xfId="60"/>
    <cellStyle name="SAPBEXchaText 2" xfId="358"/>
    <cellStyle name="SAPBEXchaText 2 2" xfId="458"/>
    <cellStyle name="SAPBEXchaText 2 2 2" xfId="692"/>
    <cellStyle name="SAPBEXchaText 2 2 2 2" xfId="1653"/>
    <cellStyle name="SAPBEXchaText 2 2 3" xfId="693"/>
    <cellStyle name="SAPBEXchaText 2 2 3 2" xfId="1654"/>
    <cellStyle name="SAPBEXchaText 2 2 4" xfId="694"/>
    <cellStyle name="SAPBEXchaText 2 2 4 2" xfId="1655"/>
    <cellStyle name="SAPBEXchaText 2 2 5" xfId="695"/>
    <cellStyle name="SAPBEXchaText 2 2 5 2" xfId="1656"/>
    <cellStyle name="SAPBEXchaText 2 2 6" xfId="696"/>
    <cellStyle name="SAPBEXchaText 2 2 6 2" xfId="1657"/>
    <cellStyle name="SAPBEXchaText 2 2 7" xfId="1658"/>
    <cellStyle name="SAPBEXchaText 2 3" xfId="697"/>
    <cellStyle name="SAPBEXchaText 2 3 2" xfId="1659"/>
    <cellStyle name="SAPBEXchaText 2 4" xfId="698"/>
    <cellStyle name="SAPBEXchaText 2 4 2" xfId="1660"/>
    <cellStyle name="SAPBEXchaText 2 5" xfId="699"/>
    <cellStyle name="SAPBEXchaText 2 5 2" xfId="1661"/>
    <cellStyle name="SAPBEXchaText 2 6" xfId="700"/>
    <cellStyle name="SAPBEXchaText 2 6 2" xfId="1662"/>
    <cellStyle name="SAPBEXchaText 2 7" xfId="1663"/>
    <cellStyle name="SAPBEXchaText 2 7 2" xfId="1664"/>
    <cellStyle name="SAPBEXchaText 3" xfId="459"/>
    <cellStyle name="SAPBEXchaText 3 2" xfId="701"/>
    <cellStyle name="SAPBEXchaText 3 2 2" xfId="1665"/>
    <cellStyle name="SAPBEXchaText 3 3" xfId="702"/>
    <cellStyle name="SAPBEXchaText 3 3 2" xfId="1666"/>
    <cellStyle name="SAPBEXchaText 3 4" xfId="703"/>
    <cellStyle name="SAPBEXchaText 3 4 2" xfId="1667"/>
    <cellStyle name="SAPBEXchaText 3 5" xfId="704"/>
    <cellStyle name="SAPBEXchaText 3 5 2" xfId="1668"/>
    <cellStyle name="SAPBEXchaText 3 6" xfId="705"/>
    <cellStyle name="SAPBEXchaText 3 6 2" xfId="1669"/>
    <cellStyle name="SAPBEXchaText 3 7" xfId="1670"/>
    <cellStyle name="SAPBEXchaText 4" xfId="706"/>
    <cellStyle name="SAPBEXchaText 4 2" xfId="1671"/>
    <cellStyle name="SAPBEXchaText 5" xfId="707"/>
    <cellStyle name="SAPBEXchaText 5 2" xfId="1672"/>
    <cellStyle name="SAPBEXchaText 6" xfId="708"/>
    <cellStyle name="SAPBEXchaText 6 2" xfId="1673"/>
    <cellStyle name="SAPBEXchaText 7" xfId="709"/>
    <cellStyle name="SAPBEXchaText 7 2" xfId="1674"/>
    <cellStyle name="SAPBEXchaText 8" xfId="691"/>
    <cellStyle name="SAPBEXchaText 8 2" xfId="1675"/>
    <cellStyle name="SAPBEXchaText 9" xfId="1676"/>
    <cellStyle name="SAPBEXchaText_20120921_SF-grote-ronde-Liesbethdump2" xfId="359"/>
    <cellStyle name="SAPBEXexcBad7" xfId="61"/>
    <cellStyle name="SAPBEXexcBad7 2" xfId="360"/>
    <cellStyle name="SAPBEXexcBad7 2 2" xfId="460"/>
    <cellStyle name="SAPBEXexcBad7 2 2 2" xfId="711"/>
    <cellStyle name="SAPBEXexcBad7 2 2 2 2" xfId="1677"/>
    <cellStyle name="SAPBEXexcBad7 2 2 3" xfId="712"/>
    <cellStyle name="SAPBEXexcBad7 2 2 3 2" xfId="1678"/>
    <cellStyle name="SAPBEXexcBad7 2 2 4" xfId="713"/>
    <cellStyle name="SAPBEXexcBad7 2 2 4 2" xfId="1679"/>
    <cellStyle name="SAPBEXexcBad7 2 2 5" xfId="714"/>
    <cellStyle name="SAPBEXexcBad7 2 2 5 2" xfId="1680"/>
    <cellStyle name="SAPBEXexcBad7 2 2 6" xfId="715"/>
    <cellStyle name="SAPBEXexcBad7 2 2 6 2" xfId="1681"/>
    <cellStyle name="SAPBEXexcBad7 2 2 7" xfId="1682"/>
    <cellStyle name="SAPBEXexcBad7 2 3" xfId="716"/>
    <cellStyle name="SAPBEXexcBad7 2 3 2" xfId="1683"/>
    <cellStyle name="SAPBEXexcBad7 2 4" xfId="717"/>
    <cellStyle name="SAPBEXexcBad7 2 4 2" xfId="1684"/>
    <cellStyle name="SAPBEXexcBad7 2 5" xfId="718"/>
    <cellStyle name="SAPBEXexcBad7 2 5 2" xfId="1685"/>
    <cellStyle name="SAPBEXexcBad7 2 6" xfId="719"/>
    <cellStyle name="SAPBEXexcBad7 2 6 2" xfId="1686"/>
    <cellStyle name="SAPBEXexcBad7 2 7" xfId="1687"/>
    <cellStyle name="SAPBEXexcBad7 3" xfId="461"/>
    <cellStyle name="SAPBEXexcBad7 3 2" xfId="720"/>
    <cellStyle name="SAPBEXexcBad7 3 2 2" xfId="1688"/>
    <cellStyle name="SAPBEXexcBad7 3 3" xfId="721"/>
    <cellStyle name="SAPBEXexcBad7 3 3 2" xfId="1689"/>
    <cellStyle name="SAPBEXexcBad7 3 4" xfId="722"/>
    <cellStyle name="SAPBEXexcBad7 3 4 2" xfId="1690"/>
    <cellStyle name="SAPBEXexcBad7 3 5" xfId="723"/>
    <cellStyle name="SAPBEXexcBad7 3 5 2" xfId="1691"/>
    <cellStyle name="SAPBEXexcBad7 3 6" xfId="724"/>
    <cellStyle name="SAPBEXexcBad7 3 6 2" xfId="1692"/>
    <cellStyle name="SAPBEXexcBad7 3 7" xfId="1693"/>
    <cellStyle name="SAPBEXexcBad7 4" xfId="725"/>
    <cellStyle name="SAPBEXexcBad7 4 2" xfId="1694"/>
    <cellStyle name="SAPBEXexcBad7 5" xfId="726"/>
    <cellStyle name="SAPBEXexcBad7 5 2" xfId="1695"/>
    <cellStyle name="SAPBEXexcBad7 6" xfId="727"/>
    <cellStyle name="SAPBEXexcBad7 6 2" xfId="1696"/>
    <cellStyle name="SAPBEXexcBad7 7" xfId="728"/>
    <cellStyle name="SAPBEXexcBad7 7 2" xfId="1697"/>
    <cellStyle name="SAPBEXexcBad7 8" xfId="710"/>
    <cellStyle name="SAPBEXexcBad7 8 2" xfId="1698"/>
    <cellStyle name="SAPBEXexcBad7 9" xfId="1699"/>
    <cellStyle name="SAPBEXexcBad7_20120921_SF-grote-ronde-Liesbethdump2" xfId="361"/>
    <cellStyle name="SAPBEXexcBad8" xfId="62"/>
    <cellStyle name="SAPBEXexcBad8 2" xfId="362"/>
    <cellStyle name="SAPBEXexcBad8 2 2" xfId="462"/>
    <cellStyle name="SAPBEXexcBad8 2 2 2" xfId="730"/>
    <cellStyle name="SAPBEXexcBad8 2 2 2 2" xfId="1700"/>
    <cellStyle name="SAPBEXexcBad8 2 2 3" xfId="731"/>
    <cellStyle name="SAPBEXexcBad8 2 2 3 2" xfId="1701"/>
    <cellStyle name="SAPBEXexcBad8 2 2 4" xfId="732"/>
    <cellStyle name="SAPBEXexcBad8 2 2 4 2" xfId="1702"/>
    <cellStyle name="SAPBEXexcBad8 2 2 5" xfId="733"/>
    <cellStyle name="SAPBEXexcBad8 2 2 5 2" xfId="1703"/>
    <cellStyle name="SAPBEXexcBad8 2 2 6" xfId="734"/>
    <cellStyle name="SAPBEXexcBad8 2 2 6 2" xfId="1704"/>
    <cellStyle name="SAPBEXexcBad8 2 2 7" xfId="1705"/>
    <cellStyle name="SAPBEXexcBad8 2 3" xfId="735"/>
    <cellStyle name="SAPBEXexcBad8 2 3 2" xfId="1706"/>
    <cellStyle name="SAPBEXexcBad8 2 4" xfId="736"/>
    <cellStyle name="SAPBEXexcBad8 2 4 2" xfId="1707"/>
    <cellStyle name="SAPBEXexcBad8 2 5" xfId="737"/>
    <cellStyle name="SAPBEXexcBad8 2 5 2" xfId="1708"/>
    <cellStyle name="SAPBEXexcBad8 2 6" xfId="738"/>
    <cellStyle name="SAPBEXexcBad8 2 6 2" xfId="1709"/>
    <cellStyle name="SAPBEXexcBad8 2 7" xfId="1710"/>
    <cellStyle name="SAPBEXexcBad8 3" xfId="463"/>
    <cellStyle name="SAPBEXexcBad8 3 2" xfId="739"/>
    <cellStyle name="SAPBEXexcBad8 3 2 2" xfId="1711"/>
    <cellStyle name="SAPBEXexcBad8 3 3" xfId="740"/>
    <cellStyle name="SAPBEXexcBad8 3 3 2" xfId="1712"/>
    <cellStyle name="SAPBEXexcBad8 3 4" xfId="741"/>
    <cellStyle name="SAPBEXexcBad8 3 4 2" xfId="1713"/>
    <cellStyle name="SAPBEXexcBad8 3 5" xfId="742"/>
    <cellStyle name="SAPBEXexcBad8 3 5 2" xfId="1714"/>
    <cellStyle name="SAPBEXexcBad8 3 6" xfId="743"/>
    <cellStyle name="SAPBEXexcBad8 3 6 2" xfId="1715"/>
    <cellStyle name="SAPBEXexcBad8 3 7" xfId="1716"/>
    <cellStyle name="SAPBEXexcBad8 4" xfId="744"/>
    <cellStyle name="SAPBEXexcBad8 4 2" xfId="1717"/>
    <cellStyle name="SAPBEXexcBad8 5" xfId="745"/>
    <cellStyle name="SAPBEXexcBad8 5 2" xfId="1718"/>
    <cellStyle name="SAPBEXexcBad8 6" xfId="746"/>
    <cellStyle name="SAPBEXexcBad8 6 2" xfId="1719"/>
    <cellStyle name="SAPBEXexcBad8 7" xfId="747"/>
    <cellStyle name="SAPBEXexcBad8 7 2" xfId="1720"/>
    <cellStyle name="SAPBEXexcBad8 8" xfId="729"/>
    <cellStyle name="SAPBEXexcBad8 8 2" xfId="1721"/>
    <cellStyle name="SAPBEXexcBad8 9" xfId="1722"/>
    <cellStyle name="SAPBEXexcBad8_20120921_SF-grote-ronde-Liesbethdump2" xfId="363"/>
    <cellStyle name="SAPBEXexcBad9" xfId="63"/>
    <cellStyle name="SAPBEXexcBad9 2" xfId="364"/>
    <cellStyle name="SAPBEXexcBad9 2 2" xfId="464"/>
    <cellStyle name="SAPBEXexcBad9 2 2 2" xfId="749"/>
    <cellStyle name="SAPBEXexcBad9 2 2 2 2" xfId="1723"/>
    <cellStyle name="SAPBEXexcBad9 2 2 3" xfId="750"/>
    <cellStyle name="SAPBEXexcBad9 2 2 3 2" xfId="1724"/>
    <cellStyle name="SAPBEXexcBad9 2 2 4" xfId="751"/>
    <cellStyle name="SAPBEXexcBad9 2 2 4 2" xfId="1725"/>
    <cellStyle name="SAPBEXexcBad9 2 2 5" xfId="752"/>
    <cellStyle name="SAPBEXexcBad9 2 2 5 2" xfId="1726"/>
    <cellStyle name="SAPBEXexcBad9 2 2 6" xfId="753"/>
    <cellStyle name="SAPBEXexcBad9 2 2 6 2" xfId="1727"/>
    <cellStyle name="SAPBEXexcBad9 2 2 7" xfId="1728"/>
    <cellStyle name="SAPBEXexcBad9 2 3" xfId="754"/>
    <cellStyle name="SAPBEXexcBad9 2 3 2" xfId="1729"/>
    <cellStyle name="SAPBEXexcBad9 2 4" xfId="755"/>
    <cellStyle name="SAPBEXexcBad9 2 4 2" xfId="1730"/>
    <cellStyle name="SAPBEXexcBad9 2 5" xfId="756"/>
    <cellStyle name="SAPBEXexcBad9 2 5 2" xfId="1731"/>
    <cellStyle name="SAPBEXexcBad9 2 6" xfId="757"/>
    <cellStyle name="SAPBEXexcBad9 2 6 2" xfId="1732"/>
    <cellStyle name="SAPBEXexcBad9 2 7" xfId="1733"/>
    <cellStyle name="SAPBEXexcBad9 3" xfId="465"/>
    <cellStyle name="SAPBEXexcBad9 3 2" xfId="758"/>
    <cellStyle name="SAPBEXexcBad9 3 2 2" xfId="1734"/>
    <cellStyle name="SAPBEXexcBad9 3 3" xfId="759"/>
    <cellStyle name="SAPBEXexcBad9 3 3 2" xfId="1735"/>
    <cellStyle name="SAPBEXexcBad9 3 4" xfId="760"/>
    <cellStyle name="SAPBEXexcBad9 3 4 2" xfId="1736"/>
    <cellStyle name="SAPBEXexcBad9 3 5" xfId="761"/>
    <cellStyle name="SAPBEXexcBad9 3 5 2" xfId="1737"/>
    <cellStyle name="SAPBEXexcBad9 3 6" xfId="762"/>
    <cellStyle name="SAPBEXexcBad9 3 6 2" xfId="1738"/>
    <cellStyle name="SAPBEXexcBad9 3 7" xfId="1739"/>
    <cellStyle name="SAPBEXexcBad9 4" xfId="763"/>
    <cellStyle name="SAPBEXexcBad9 4 2" xfId="1740"/>
    <cellStyle name="SAPBEXexcBad9 5" xfId="764"/>
    <cellStyle name="SAPBEXexcBad9 5 2" xfId="1741"/>
    <cellStyle name="SAPBEXexcBad9 6" xfId="765"/>
    <cellStyle name="SAPBEXexcBad9 6 2" xfId="1742"/>
    <cellStyle name="SAPBEXexcBad9 7" xfId="766"/>
    <cellStyle name="SAPBEXexcBad9 7 2" xfId="1743"/>
    <cellStyle name="SAPBEXexcBad9 8" xfId="748"/>
    <cellStyle name="SAPBEXexcBad9 8 2" xfId="1744"/>
    <cellStyle name="SAPBEXexcBad9 9" xfId="1745"/>
    <cellStyle name="SAPBEXexcBad9_20120921_SF-grote-ronde-Liesbethdump2" xfId="365"/>
    <cellStyle name="SAPBEXexcCritical4" xfId="64"/>
    <cellStyle name="SAPBEXexcCritical4 2" xfId="366"/>
    <cellStyle name="SAPBEXexcCritical4 2 2" xfId="466"/>
    <cellStyle name="SAPBEXexcCritical4 2 2 2" xfId="768"/>
    <cellStyle name="SAPBEXexcCritical4 2 2 2 2" xfId="1746"/>
    <cellStyle name="SAPBEXexcCritical4 2 2 3" xfId="769"/>
    <cellStyle name="SAPBEXexcCritical4 2 2 3 2" xfId="1747"/>
    <cellStyle name="SAPBEXexcCritical4 2 2 4" xfId="770"/>
    <cellStyle name="SAPBEXexcCritical4 2 2 4 2" xfId="1748"/>
    <cellStyle name="SAPBEXexcCritical4 2 2 5" xfId="771"/>
    <cellStyle name="SAPBEXexcCritical4 2 2 5 2" xfId="1749"/>
    <cellStyle name="SAPBEXexcCritical4 2 2 6" xfId="772"/>
    <cellStyle name="SAPBEXexcCritical4 2 2 6 2" xfId="1750"/>
    <cellStyle name="SAPBEXexcCritical4 2 2 7" xfId="1751"/>
    <cellStyle name="SAPBEXexcCritical4 2 3" xfId="773"/>
    <cellStyle name="SAPBEXexcCritical4 2 3 2" xfId="1752"/>
    <cellStyle name="SAPBEXexcCritical4 2 4" xfId="774"/>
    <cellStyle name="SAPBEXexcCritical4 2 4 2" xfId="1753"/>
    <cellStyle name="SAPBEXexcCritical4 2 5" xfId="775"/>
    <cellStyle name="SAPBEXexcCritical4 2 5 2" xfId="1754"/>
    <cellStyle name="SAPBEXexcCritical4 2 6" xfId="776"/>
    <cellStyle name="SAPBEXexcCritical4 2 6 2" xfId="1755"/>
    <cellStyle name="SAPBEXexcCritical4 2 7" xfId="1756"/>
    <cellStyle name="SAPBEXexcCritical4 3" xfId="467"/>
    <cellStyle name="SAPBEXexcCritical4 3 2" xfId="777"/>
    <cellStyle name="SAPBEXexcCritical4 3 2 2" xfId="1757"/>
    <cellStyle name="SAPBEXexcCritical4 3 3" xfId="778"/>
    <cellStyle name="SAPBEXexcCritical4 3 3 2" xfId="1758"/>
    <cellStyle name="SAPBEXexcCritical4 3 4" xfId="779"/>
    <cellStyle name="SAPBEXexcCritical4 3 4 2" xfId="1759"/>
    <cellStyle name="SAPBEXexcCritical4 3 5" xfId="780"/>
    <cellStyle name="SAPBEXexcCritical4 3 5 2" xfId="1760"/>
    <cellStyle name="SAPBEXexcCritical4 3 6" xfId="781"/>
    <cellStyle name="SAPBEXexcCritical4 3 6 2" xfId="1761"/>
    <cellStyle name="SAPBEXexcCritical4 3 7" xfId="1762"/>
    <cellStyle name="SAPBEXexcCritical4 4" xfId="782"/>
    <cellStyle name="SAPBEXexcCritical4 4 2" xfId="1763"/>
    <cellStyle name="SAPBEXexcCritical4 5" xfId="783"/>
    <cellStyle name="SAPBEXexcCritical4 5 2" xfId="1764"/>
    <cellStyle name="SAPBEXexcCritical4 6" xfId="784"/>
    <cellStyle name="SAPBEXexcCritical4 6 2" xfId="1765"/>
    <cellStyle name="SAPBEXexcCritical4 7" xfId="785"/>
    <cellStyle name="SAPBEXexcCritical4 7 2" xfId="1766"/>
    <cellStyle name="SAPBEXexcCritical4 8" xfId="767"/>
    <cellStyle name="SAPBEXexcCritical4 8 2" xfId="1767"/>
    <cellStyle name="SAPBEXexcCritical4 9" xfId="1768"/>
    <cellStyle name="SAPBEXexcCritical4_20120921_SF-grote-ronde-Liesbethdump2" xfId="367"/>
    <cellStyle name="SAPBEXexcCritical5" xfId="65"/>
    <cellStyle name="SAPBEXexcCritical5 2" xfId="368"/>
    <cellStyle name="SAPBEXexcCritical5 2 2" xfId="468"/>
    <cellStyle name="SAPBEXexcCritical5 2 2 2" xfId="787"/>
    <cellStyle name="SAPBEXexcCritical5 2 2 2 2" xfId="1769"/>
    <cellStyle name="SAPBEXexcCritical5 2 2 3" xfId="788"/>
    <cellStyle name="SAPBEXexcCritical5 2 2 3 2" xfId="1770"/>
    <cellStyle name="SAPBEXexcCritical5 2 2 4" xfId="789"/>
    <cellStyle name="SAPBEXexcCritical5 2 2 4 2" xfId="1771"/>
    <cellStyle name="SAPBEXexcCritical5 2 2 5" xfId="790"/>
    <cellStyle name="SAPBEXexcCritical5 2 2 5 2" xfId="1772"/>
    <cellStyle name="SAPBEXexcCritical5 2 2 6" xfId="791"/>
    <cellStyle name="SAPBEXexcCritical5 2 2 6 2" xfId="1773"/>
    <cellStyle name="SAPBEXexcCritical5 2 2 7" xfId="1774"/>
    <cellStyle name="SAPBEXexcCritical5 2 3" xfId="792"/>
    <cellStyle name="SAPBEXexcCritical5 2 3 2" xfId="1775"/>
    <cellStyle name="SAPBEXexcCritical5 2 4" xfId="793"/>
    <cellStyle name="SAPBEXexcCritical5 2 4 2" xfId="1776"/>
    <cellStyle name="SAPBEXexcCritical5 2 5" xfId="794"/>
    <cellStyle name="SAPBEXexcCritical5 2 5 2" xfId="1777"/>
    <cellStyle name="SAPBEXexcCritical5 2 6" xfId="795"/>
    <cellStyle name="SAPBEXexcCritical5 2 6 2" xfId="1778"/>
    <cellStyle name="SAPBEXexcCritical5 2 7" xfId="1779"/>
    <cellStyle name="SAPBEXexcCritical5 3" xfId="469"/>
    <cellStyle name="SAPBEXexcCritical5 3 2" xfId="796"/>
    <cellStyle name="SAPBEXexcCritical5 3 2 2" xfId="1780"/>
    <cellStyle name="SAPBEXexcCritical5 3 3" xfId="797"/>
    <cellStyle name="SAPBEXexcCritical5 3 3 2" xfId="1781"/>
    <cellStyle name="SAPBEXexcCritical5 3 4" xfId="798"/>
    <cellStyle name="SAPBEXexcCritical5 3 4 2" xfId="1782"/>
    <cellStyle name="SAPBEXexcCritical5 3 5" xfId="799"/>
    <cellStyle name="SAPBEXexcCritical5 3 5 2" xfId="1783"/>
    <cellStyle name="SAPBEXexcCritical5 3 6" xfId="800"/>
    <cellStyle name="SAPBEXexcCritical5 3 6 2" xfId="1784"/>
    <cellStyle name="SAPBEXexcCritical5 3 7" xfId="1785"/>
    <cellStyle name="SAPBEXexcCritical5 4" xfId="801"/>
    <cellStyle name="SAPBEXexcCritical5 4 2" xfId="1786"/>
    <cellStyle name="SAPBEXexcCritical5 5" xfId="802"/>
    <cellStyle name="SAPBEXexcCritical5 5 2" xfId="1787"/>
    <cellStyle name="SAPBEXexcCritical5 6" xfId="803"/>
    <cellStyle name="SAPBEXexcCritical5 6 2" xfId="1788"/>
    <cellStyle name="SAPBEXexcCritical5 7" xfId="804"/>
    <cellStyle name="SAPBEXexcCritical5 7 2" xfId="1789"/>
    <cellStyle name="SAPBEXexcCritical5 8" xfId="786"/>
    <cellStyle name="SAPBEXexcCritical5 8 2" xfId="1790"/>
    <cellStyle name="SAPBEXexcCritical5 9" xfId="1791"/>
    <cellStyle name="SAPBEXexcCritical5_20120921_SF-grote-ronde-Liesbethdump2" xfId="369"/>
    <cellStyle name="SAPBEXexcCritical6" xfId="66"/>
    <cellStyle name="SAPBEXexcCritical6 2" xfId="370"/>
    <cellStyle name="SAPBEXexcCritical6 2 2" xfId="470"/>
    <cellStyle name="SAPBEXexcCritical6 2 2 2" xfId="806"/>
    <cellStyle name="SAPBEXexcCritical6 2 2 2 2" xfId="1792"/>
    <cellStyle name="SAPBEXexcCritical6 2 2 3" xfId="807"/>
    <cellStyle name="SAPBEXexcCritical6 2 2 3 2" xfId="1793"/>
    <cellStyle name="SAPBEXexcCritical6 2 2 4" xfId="808"/>
    <cellStyle name="SAPBEXexcCritical6 2 2 4 2" xfId="1794"/>
    <cellStyle name="SAPBEXexcCritical6 2 2 5" xfId="809"/>
    <cellStyle name="SAPBEXexcCritical6 2 2 5 2" xfId="1795"/>
    <cellStyle name="SAPBEXexcCritical6 2 2 6" xfId="810"/>
    <cellStyle name="SAPBEXexcCritical6 2 2 6 2" xfId="1796"/>
    <cellStyle name="SAPBEXexcCritical6 2 2 7" xfId="1797"/>
    <cellStyle name="SAPBEXexcCritical6 2 3" xfId="811"/>
    <cellStyle name="SAPBEXexcCritical6 2 3 2" xfId="1798"/>
    <cellStyle name="SAPBEXexcCritical6 2 4" xfId="812"/>
    <cellStyle name="SAPBEXexcCritical6 2 4 2" xfId="1799"/>
    <cellStyle name="SAPBEXexcCritical6 2 5" xfId="813"/>
    <cellStyle name="SAPBEXexcCritical6 2 5 2" xfId="1800"/>
    <cellStyle name="SAPBEXexcCritical6 2 6" xfId="814"/>
    <cellStyle name="SAPBEXexcCritical6 2 6 2" xfId="1801"/>
    <cellStyle name="SAPBEXexcCritical6 2 7" xfId="1802"/>
    <cellStyle name="SAPBEXexcCritical6 3" xfId="471"/>
    <cellStyle name="SAPBEXexcCritical6 3 2" xfId="815"/>
    <cellStyle name="SAPBEXexcCritical6 3 2 2" xfId="1803"/>
    <cellStyle name="SAPBEXexcCritical6 3 3" xfId="816"/>
    <cellStyle name="SAPBEXexcCritical6 3 3 2" xfId="1804"/>
    <cellStyle name="SAPBEXexcCritical6 3 4" xfId="817"/>
    <cellStyle name="SAPBEXexcCritical6 3 4 2" xfId="1805"/>
    <cellStyle name="SAPBEXexcCritical6 3 5" xfId="818"/>
    <cellStyle name="SAPBEXexcCritical6 3 5 2" xfId="1806"/>
    <cellStyle name="SAPBEXexcCritical6 3 6" xfId="819"/>
    <cellStyle name="SAPBEXexcCritical6 3 6 2" xfId="1807"/>
    <cellStyle name="SAPBEXexcCritical6 3 7" xfId="1808"/>
    <cellStyle name="SAPBEXexcCritical6 4" xfId="820"/>
    <cellStyle name="SAPBEXexcCritical6 4 2" xfId="1809"/>
    <cellStyle name="SAPBEXexcCritical6 5" xfId="821"/>
    <cellStyle name="SAPBEXexcCritical6 5 2" xfId="1810"/>
    <cellStyle name="SAPBEXexcCritical6 6" xfId="822"/>
    <cellStyle name="SAPBEXexcCritical6 6 2" xfId="1811"/>
    <cellStyle name="SAPBEXexcCritical6 7" xfId="823"/>
    <cellStyle name="SAPBEXexcCritical6 7 2" xfId="1812"/>
    <cellStyle name="SAPBEXexcCritical6 8" xfId="805"/>
    <cellStyle name="SAPBEXexcCritical6 8 2" xfId="1813"/>
    <cellStyle name="SAPBEXexcCritical6 9" xfId="1814"/>
    <cellStyle name="SAPBEXexcCritical6_20120921_SF-grote-ronde-Liesbethdump2" xfId="371"/>
    <cellStyle name="SAPBEXexcGood1" xfId="67"/>
    <cellStyle name="SAPBEXexcGood1 2" xfId="372"/>
    <cellStyle name="SAPBEXexcGood1 2 2" xfId="472"/>
    <cellStyle name="SAPBEXexcGood1 2 2 2" xfId="825"/>
    <cellStyle name="SAPBEXexcGood1 2 2 2 2" xfId="1815"/>
    <cellStyle name="SAPBEXexcGood1 2 2 3" xfId="826"/>
    <cellStyle name="SAPBEXexcGood1 2 2 3 2" xfId="1816"/>
    <cellStyle name="SAPBEXexcGood1 2 2 4" xfId="827"/>
    <cellStyle name="SAPBEXexcGood1 2 2 4 2" xfId="1817"/>
    <cellStyle name="SAPBEXexcGood1 2 2 5" xfId="828"/>
    <cellStyle name="SAPBEXexcGood1 2 2 5 2" xfId="1818"/>
    <cellStyle name="SAPBEXexcGood1 2 2 6" xfId="829"/>
    <cellStyle name="SAPBEXexcGood1 2 2 6 2" xfId="1819"/>
    <cellStyle name="SAPBEXexcGood1 2 2 7" xfId="1820"/>
    <cellStyle name="SAPBEXexcGood1 2 3" xfId="830"/>
    <cellStyle name="SAPBEXexcGood1 2 3 2" xfId="1821"/>
    <cellStyle name="SAPBEXexcGood1 2 4" xfId="831"/>
    <cellStyle name="SAPBEXexcGood1 2 4 2" xfId="1822"/>
    <cellStyle name="SAPBEXexcGood1 2 5" xfId="832"/>
    <cellStyle name="SAPBEXexcGood1 2 5 2" xfId="1823"/>
    <cellStyle name="SAPBEXexcGood1 2 6" xfId="833"/>
    <cellStyle name="SAPBEXexcGood1 2 6 2" xfId="1824"/>
    <cellStyle name="SAPBEXexcGood1 2 7" xfId="1825"/>
    <cellStyle name="SAPBEXexcGood1 3" xfId="473"/>
    <cellStyle name="SAPBEXexcGood1 3 2" xfId="834"/>
    <cellStyle name="SAPBEXexcGood1 3 2 2" xfId="1826"/>
    <cellStyle name="SAPBEXexcGood1 3 3" xfId="835"/>
    <cellStyle name="SAPBEXexcGood1 3 3 2" xfId="1827"/>
    <cellStyle name="SAPBEXexcGood1 3 4" xfId="836"/>
    <cellStyle name="SAPBEXexcGood1 3 4 2" xfId="1828"/>
    <cellStyle name="SAPBEXexcGood1 3 5" xfId="837"/>
    <cellStyle name="SAPBEXexcGood1 3 5 2" xfId="1829"/>
    <cellStyle name="SAPBEXexcGood1 3 6" xfId="838"/>
    <cellStyle name="SAPBEXexcGood1 3 6 2" xfId="1830"/>
    <cellStyle name="SAPBEXexcGood1 3 7" xfId="1831"/>
    <cellStyle name="SAPBEXexcGood1 4" xfId="839"/>
    <cellStyle name="SAPBEXexcGood1 4 2" xfId="1832"/>
    <cellStyle name="SAPBEXexcGood1 5" xfId="840"/>
    <cellStyle name="SAPBEXexcGood1 5 2" xfId="1833"/>
    <cellStyle name="SAPBEXexcGood1 6" xfId="841"/>
    <cellStyle name="SAPBEXexcGood1 6 2" xfId="1834"/>
    <cellStyle name="SAPBEXexcGood1 7" xfId="842"/>
    <cellStyle name="SAPBEXexcGood1 7 2" xfId="1835"/>
    <cellStyle name="SAPBEXexcGood1 8" xfId="824"/>
    <cellStyle name="SAPBEXexcGood1 8 2" xfId="1836"/>
    <cellStyle name="SAPBEXexcGood1 9" xfId="1837"/>
    <cellStyle name="SAPBEXexcGood1_20120921_SF-grote-ronde-Liesbethdump2" xfId="373"/>
    <cellStyle name="SAPBEXexcGood2" xfId="68"/>
    <cellStyle name="SAPBEXexcGood2 2" xfId="374"/>
    <cellStyle name="SAPBEXexcGood2 2 2" xfId="474"/>
    <cellStyle name="SAPBEXexcGood2 2 2 2" xfId="844"/>
    <cellStyle name="SAPBEXexcGood2 2 2 2 2" xfId="1838"/>
    <cellStyle name="SAPBEXexcGood2 2 2 3" xfId="845"/>
    <cellStyle name="SAPBEXexcGood2 2 2 3 2" xfId="1839"/>
    <cellStyle name="SAPBEXexcGood2 2 2 4" xfId="846"/>
    <cellStyle name="SAPBEXexcGood2 2 2 4 2" xfId="1840"/>
    <cellStyle name="SAPBEXexcGood2 2 2 5" xfId="847"/>
    <cellStyle name="SAPBEXexcGood2 2 2 5 2" xfId="1841"/>
    <cellStyle name="SAPBEXexcGood2 2 2 6" xfId="848"/>
    <cellStyle name="SAPBEXexcGood2 2 2 6 2" xfId="1842"/>
    <cellStyle name="SAPBEXexcGood2 2 2 7" xfId="1843"/>
    <cellStyle name="SAPBEXexcGood2 2 3" xfId="849"/>
    <cellStyle name="SAPBEXexcGood2 2 3 2" xfId="1844"/>
    <cellStyle name="SAPBEXexcGood2 2 4" xfId="850"/>
    <cellStyle name="SAPBEXexcGood2 2 4 2" xfId="1845"/>
    <cellStyle name="SAPBEXexcGood2 2 5" xfId="851"/>
    <cellStyle name="SAPBEXexcGood2 2 5 2" xfId="1846"/>
    <cellStyle name="SAPBEXexcGood2 2 6" xfId="852"/>
    <cellStyle name="SAPBEXexcGood2 2 6 2" xfId="1847"/>
    <cellStyle name="SAPBEXexcGood2 2 7" xfId="1848"/>
    <cellStyle name="SAPBEXexcGood2 3" xfId="475"/>
    <cellStyle name="SAPBEXexcGood2 3 2" xfId="853"/>
    <cellStyle name="SAPBEXexcGood2 3 2 2" xfId="1849"/>
    <cellStyle name="SAPBEXexcGood2 3 3" xfId="854"/>
    <cellStyle name="SAPBEXexcGood2 3 3 2" xfId="1850"/>
    <cellStyle name="SAPBEXexcGood2 3 4" xfId="855"/>
    <cellStyle name="SAPBEXexcGood2 3 4 2" xfId="1851"/>
    <cellStyle name="SAPBEXexcGood2 3 5" xfId="856"/>
    <cellStyle name="SAPBEXexcGood2 3 5 2" xfId="1852"/>
    <cellStyle name="SAPBEXexcGood2 3 6" xfId="857"/>
    <cellStyle name="SAPBEXexcGood2 3 6 2" xfId="1853"/>
    <cellStyle name="SAPBEXexcGood2 3 7" xfId="1854"/>
    <cellStyle name="SAPBEXexcGood2 4" xfId="858"/>
    <cellStyle name="SAPBEXexcGood2 4 2" xfId="1855"/>
    <cellStyle name="SAPBEXexcGood2 5" xfId="859"/>
    <cellStyle name="SAPBEXexcGood2 5 2" xfId="1856"/>
    <cellStyle name="SAPBEXexcGood2 6" xfId="860"/>
    <cellStyle name="SAPBEXexcGood2 6 2" xfId="1857"/>
    <cellStyle name="SAPBEXexcGood2 7" xfId="861"/>
    <cellStyle name="SAPBEXexcGood2 7 2" xfId="1858"/>
    <cellStyle name="SAPBEXexcGood2 8" xfId="843"/>
    <cellStyle name="SAPBEXexcGood2 8 2" xfId="1859"/>
    <cellStyle name="SAPBEXexcGood2 9" xfId="1860"/>
    <cellStyle name="SAPBEXexcGood2_20120921_SF-grote-ronde-Liesbethdump2" xfId="375"/>
    <cellStyle name="SAPBEXexcGood3" xfId="69"/>
    <cellStyle name="SAPBEXexcGood3 2" xfId="376"/>
    <cellStyle name="SAPBEXexcGood3 2 2" xfId="476"/>
    <cellStyle name="SAPBEXexcGood3 2 2 2" xfId="863"/>
    <cellStyle name="SAPBEXexcGood3 2 2 2 2" xfId="1861"/>
    <cellStyle name="SAPBEXexcGood3 2 2 3" xfId="864"/>
    <cellStyle name="SAPBEXexcGood3 2 2 3 2" xfId="1862"/>
    <cellStyle name="SAPBEXexcGood3 2 2 4" xfId="865"/>
    <cellStyle name="SAPBEXexcGood3 2 2 4 2" xfId="1863"/>
    <cellStyle name="SAPBEXexcGood3 2 2 5" xfId="866"/>
    <cellStyle name="SAPBEXexcGood3 2 2 5 2" xfId="1864"/>
    <cellStyle name="SAPBEXexcGood3 2 2 6" xfId="867"/>
    <cellStyle name="SAPBEXexcGood3 2 2 6 2" xfId="1865"/>
    <cellStyle name="SAPBEXexcGood3 2 2 7" xfId="1866"/>
    <cellStyle name="SAPBEXexcGood3 2 3" xfId="868"/>
    <cellStyle name="SAPBEXexcGood3 2 3 2" xfId="1867"/>
    <cellStyle name="SAPBEXexcGood3 2 4" xfId="869"/>
    <cellStyle name="SAPBEXexcGood3 2 4 2" xfId="1868"/>
    <cellStyle name="SAPBEXexcGood3 2 5" xfId="870"/>
    <cellStyle name="SAPBEXexcGood3 2 5 2" xfId="1869"/>
    <cellStyle name="SAPBEXexcGood3 2 6" xfId="871"/>
    <cellStyle name="SAPBEXexcGood3 2 6 2" xfId="1870"/>
    <cellStyle name="SAPBEXexcGood3 2 7" xfId="1871"/>
    <cellStyle name="SAPBEXexcGood3 3" xfId="477"/>
    <cellStyle name="SAPBEXexcGood3 3 2" xfId="872"/>
    <cellStyle name="SAPBEXexcGood3 3 2 2" xfId="1872"/>
    <cellStyle name="SAPBEXexcGood3 3 3" xfId="873"/>
    <cellStyle name="SAPBEXexcGood3 3 3 2" xfId="1873"/>
    <cellStyle name="SAPBEXexcGood3 3 4" xfId="874"/>
    <cellStyle name="SAPBEXexcGood3 3 4 2" xfId="1874"/>
    <cellStyle name="SAPBEXexcGood3 3 5" xfId="875"/>
    <cellStyle name="SAPBEXexcGood3 3 5 2" xfId="1875"/>
    <cellStyle name="SAPBEXexcGood3 3 6" xfId="876"/>
    <cellStyle name="SAPBEXexcGood3 3 6 2" xfId="1876"/>
    <cellStyle name="SAPBEXexcGood3 3 7" xfId="1877"/>
    <cellStyle name="SAPBEXexcGood3 4" xfId="877"/>
    <cellStyle name="SAPBEXexcGood3 4 2" xfId="1878"/>
    <cellStyle name="SAPBEXexcGood3 5" xfId="878"/>
    <cellStyle name="SAPBEXexcGood3 5 2" xfId="1879"/>
    <cellStyle name="SAPBEXexcGood3 6" xfId="879"/>
    <cellStyle name="SAPBEXexcGood3 6 2" xfId="1880"/>
    <cellStyle name="SAPBEXexcGood3 7" xfId="880"/>
    <cellStyle name="SAPBEXexcGood3 7 2" xfId="1881"/>
    <cellStyle name="SAPBEXexcGood3 8" xfId="862"/>
    <cellStyle name="SAPBEXexcGood3 8 2" xfId="1882"/>
    <cellStyle name="SAPBEXexcGood3 9" xfId="1883"/>
    <cellStyle name="SAPBEXexcGood3_20120921_SF-grote-ronde-Liesbethdump2" xfId="377"/>
    <cellStyle name="SAPBEXfilterDrill" xfId="70"/>
    <cellStyle name="SAPBEXfilterDrill 2" xfId="378"/>
    <cellStyle name="SAPBEXfilterDrill 2 2" xfId="478"/>
    <cellStyle name="SAPBEXfilterDrill 2 2 2" xfId="882"/>
    <cellStyle name="SAPBEXfilterDrill 2 2 2 2" xfId="1884"/>
    <cellStyle name="SAPBEXfilterDrill 2 2 3" xfId="883"/>
    <cellStyle name="SAPBEXfilterDrill 2 2 3 2" xfId="1885"/>
    <cellStyle name="SAPBEXfilterDrill 2 2 4" xfId="884"/>
    <cellStyle name="SAPBEXfilterDrill 2 2 4 2" xfId="1886"/>
    <cellStyle name="SAPBEXfilterDrill 2 2 5" xfId="885"/>
    <cellStyle name="SAPBEXfilterDrill 2 2 5 2" xfId="1887"/>
    <cellStyle name="SAPBEXfilterDrill 2 2 6" xfId="886"/>
    <cellStyle name="SAPBEXfilterDrill 2 2 6 2" xfId="1888"/>
    <cellStyle name="SAPBEXfilterDrill 2 2 7" xfId="1889"/>
    <cellStyle name="SAPBEXfilterDrill 2 3" xfId="887"/>
    <cellStyle name="SAPBEXfilterDrill 2 3 2" xfId="1890"/>
    <cellStyle name="SAPBEXfilterDrill 2 4" xfId="888"/>
    <cellStyle name="SAPBEXfilterDrill 2 4 2" xfId="1891"/>
    <cellStyle name="SAPBEXfilterDrill 2 5" xfId="889"/>
    <cellStyle name="SAPBEXfilterDrill 2 5 2" xfId="1892"/>
    <cellStyle name="SAPBEXfilterDrill 2 6" xfId="890"/>
    <cellStyle name="SAPBEXfilterDrill 2 6 2" xfId="1893"/>
    <cellStyle name="SAPBEXfilterDrill 2 7" xfId="1894"/>
    <cellStyle name="SAPBEXfilterDrill 3" xfId="479"/>
    <cellStyle name="SAPBEXfilterDrill 3 2" xfId="891"/>
    <cellStyle name="SAPBEXfilterDrill 3 2 2" xfId="1895"/>
    <cellStyle name="SAPBEXfilterDrill 3 3" xfId="892"/>
    <cellStyle name="SAPBEXfilterDrill 3 3 2" xfId="1896"/>
    <cellStyle name="SAPBEXfilterDrill 3 4" xfId="893"/>
    <cellStyle name="SAPBEXfilterDrill 3 4 2" xfId="1897"/>
    <cellStyle name="SAPBEXfilterDrill 3 5" xfId="894"/>
    <cellStyle name="SAPBEXfilterDrill 3 5 2" xfId="1898"/>
    <cellStyle name="SAPBEXfilterDrill 3 6" xfId="895"/>
    <cellStyle name="SAPBEXfilterDrill 3 6 2" xfId="1899"/>
    <cellStyle name="SAPBEXfilterDrill 3 7" xfId="1900"/>
    <cellStyle name="SAPBEXfilterDrill 4" xfId="896"/>
    <cellStyle name="SAPBEXfilterDrill 4 2" xfId="1901"/>
    <cellStyle name="SAPBEXfilterDrill 5" xfId="897"/>
    <cellStyle name="SAPBEXfilterDrill 5 2" xfId="1902"/>
    <cellStyle name="SAPBEXfilterDrill 6" xfId="898"/>
    <cellStyle name="SAPBEXfilterDrill 6 2" xfId="1903"/>
    <cellStyle name="SAPBEXfilterDrill 7" xfId="899"/>
    <cellStyle name="SAPBEXfilterDrill 7 2" xfId="1904"/>
    <cellStyle name="SAPBEXfilterDrill 8" xfId="881"/>
    <cellStyle name="SAPBEXfilterDrill 8 2" xfId="1905"/>
    <cellStyle name="SAPBEXfilterDrill 9" xfId="1906"/>
    <cellStyle name="SAPBEXfilterDrill_20120921_SF-grote-ronde-Liesbethdump2" xfId="379"/>
    <cellStyle name="SAPBEXfilterItem" xfId="71"/>
    <cellStyle name="SAPBEXfilterItem 2" xfId="409"/>
    <cellStyle name="SAPBEXfilterItem 2 2" xfId="480"/>
    <cellStyle name="SAPBEXfilterItem 2 2 2" xfId="1907"/>
    <cellStyle name="SAPBEXfilterItem 2 3" xfId="901"/>
    <cellStyle name="SAPBEXfilterItem 2 3 2" xfId="1908"/>
    <cellStyle name="SAPBEXfilterItem 2 4" xfId="902"/>
    <cellStyle name="SAPBEXfilterItem 2 4 2" xfId="1909"/>
    <cellStyle name="SAPBEXfilterItem 2 5" xfId="903"/>
    <cellStyle name="SAPBEXfilterItem 2 5 2" xfId="1910"/>
    <cellStyle name="SAPBEXfilterItem 2 6" xfId="904"/>
    <cellStyle name="SAPBEXfilterItem 2 6 2" xfId="1911"/>
    <cellStyle name="SAPBEXfilterItem 2 7" xfId="1912"/>
    <cellStyle name="SAPBEXfilterItem 3" xfId="905"/>
    <cellStyle name="SAPBEXfilterItem 3 2" xfId="1913"/>
    <cellStyle name="SAPBEXfilterItem 4" xfId="906"/>
    <cellStyle name="SAPBEXfilterItem 4 2" xfId="1914"/>
    <cellStyle name="SAPBEXfilterItem 5" xfId="907"/>
    <cellStyle name="SAPBEXfilterItem 5 2" xfId="1915"/>
    <cellStyle name="SAPBEXfilterItem 6" xfId="908"/>
    <cellStyle name="SAPBEXfilterItem 6 2" xfId="1916"/>
    <cellStyle name="SAPBEXfilterItem 7" xfId="909"/>
    <cellStyle name="SAPBEXfilterItem 7 2" xfId="1917"/>
    <cellStyle name="SAPBEXfilterItem 8" xfId="900"/>
    <cellStyle name="SAPBEXfilterItem 8 2" xfId="1918"/>
    <cellStyle name="SAPBEXfilterItem 9" xfId="1919"/>
    <cellStyle name="SAPBEXfilterText" xfId="72"/>
    <cellStyle name="SAPBEXfilterText 2" xfId="410"/>
    <cellStyle name="SAPBEXfilterText 2 2" xfId="481"/>
    <cellStyle name="SAPBEXfilterText 2 2 2" xfId="1920"/>
    <cellStyle name="SAPBEXfilterText 2 3" xfId="911"/>
    <cellStyle name="SAPBEXfilterText 2 3 2" xfId="1921"/>
    <cellStyle name="SAPBEXfilterText 2 4" xfId="912"/>
    <cellStyle name="SAPBEXfilterText 2 4 2" xfId="1922"/>
    <cellStyle name="SAPBEXfilterText 2 5" xfId="913"/>
    <cellStyle name="SAPBEXfilterText 2 5 2" xfId="1923"/>
    <cellStyle name="SAPBEXfilterText 2 6" xfId="914"/>
    <cellStyle name="SAPBEXfilterText 2 6 2" xfId="1924"/>
    <cellStyle name="SAPBEXfilterText 2 7" xfId="1925"/>
    <cellStyle name="SAPBEXfilterText 3" xfId="915"/>
    <cellStyle name="SAPBEXfilterText 3 2" xfId="1926"/>
    <cellStyle name="SAPBEXfilterText 4" xfId="916"/>
    <cellStyle name="SAPBEXfilterText 4 2" xfId="1927"/>
    <cellStyle name="SAPBEXfilterText 5" xfId="917"/>
    <cellStyle name="SAPBEXfilterText 5 2" xfId="1928"/>
    <cellStyle name="SAPBEXfilterText 6" xfId="918"/>
    <cellStyle name="SAPBEXfilterText 6 2" xfId="1929"/>
    <cellStyle name="SAPBEXfilterText 7" xfId="919"/>
    <cellStyle name="SAPBEXfilterText 7 2" xfId="1930"/>
    <cellStyle name="SAPBEXfilterText 8" xfId="910"/>
    <cellStyle name="SAPBEXfilterText 9" xfId="1931"/>
    <cellStyle name="SAPBEXformats" xfId="73"/>
    <cellStyle name="SAPBEXformats 2" xfId="380"/>
    <cellStyle name="SAPBEXformats 2 2" xfId="482"/>
    <cellStyle name="SAPBEXformats 2 2 2" xfId="921"/>
    <cellStyle name="SAPBEXformats 2 2 2 2" xfId="1932"/>
    <cellStyle name="SAPBEXformats 2 2 3" xfId="922"/>
    <cellStyle name="SAPBEXformats 2 2 3 2" xfId="1933"/>
    <cellStyle name="SAPBEXformats 2 2 4" xfId="923"/>
    <cellStyle name="SAPBEXformats 2 2 4 2" xfId="1934"/>
    <cellStyle name="SAPBEXformats 2 2 5" xfId="924"/>
    <cellStyle name="SAPBEXformats 2 2 5 2" xfId="1935"/>
    <cellStyle name="SAPBEXformats 2 2 6" xfId="925"/>
    <cellStyle name="SAPBEXformats 2 2 6 2" xfId="1936"/>
    <cellStyle name="SAPBEXformats 2 2 7" xfId="1937"/>
    <cellStyle name="SAPBEXformats 2 3" xfId="926"/>
    <cellStyle name="SAPBEXformats 2 3 2" xfId="1938"/>
    <cellStyle name="SAPBEXformats 2 4" xfId="927"/>
    <cellStyle name="SAPBEXformats 2 4 2" xfId="1939"/>
    <cellStyle name="SAPBEXformats 2 5" xfId="928"/>
    <cellStyle name="SAPBEXformats 2 5 2" xfId="1940"/>
    <cellStyle name="SAPBEXformats 2 6" xfId="929"/>
    <cellStyle name="SAPBEXformats 2 6 2" xfId="1941"/>
    <cellStyle name="SAPBEXformats 2 7" xfId="1942"/>
    <cellStyle name="SAPBEXformats 3" xfId="483"/>
    <cellStyle name="SAPBEXformats 3 2" xfId="930"/>
    <cellStyle name="SAPBEXformats 3 2 2" xfId="1943"/>
    <cellStyle name="SAPBEXformats 3 3" xfId="931"/>
    <cellStyle name="SAPBEXformats 3 3 2" xfId="1944"/>
    <cellStyle name="SAPBEXformats 3 4" xfId="932"/>
    <cellStyle name="SAPBEXformats 3 4 2" xfId="1945"/>
    <cellStyle name="SAPBEXformats 3 5" xfId="933"/>
    <cellStyle name="SAPBEXformats 3 5 2" xfId="1946"/>
    <cellStyle name="SAPBEXformats 3 6" xfId="934"/>
    <cellStyle name="SAPBEXformats 3 6 2" xfId="1947"/>
    <cellStyle name="SAPBEXformats 3 7" xfId="1948"/>
    <cellStyle name="SAPBEXformats 4" xfId="935"/>
    <cellStyle name="SAPBEXformats 4 2" xfId="1949"/>
    <cellStyle name="SAPBEXformats 5" xfId="936"/>
    <cellStyle name="SAPBEXformats 5 2" xfId="1950"/>
    <cellStyle name="SAPBEXformats 6" xfId="937"/>
    <cellStyle name="SAPBEXformats 6 2" xfId="1951"/>
    <cellStyle name="SAPBEXformats 7" xfId="938"/>
    <cellStyle name="SAPBEXformats 7 2" xfId="1952"/>
    <cellStyle name="SAPBEXformats 8" xfId="920"/>
    <cellStyle name="SAPBEXformats 8 2" xfId="1953"/>
    <cellStyle name="SAPBEXformats 9" xfId="1954"/>
    <cellStyle name="SAPBEXformats_20120921_SF-grote-ronde-Liesbethdump2" xfId="381"/>
    <cellStyle name="SAPBEXheaderItem" xfId="74"/>
    <cellStyle name="SAPBEXheaderItem 2" xfId="382"/>
    <cellStyle name="SAPBEXheaderItem 2 2" xfId="484"/>
    <cellStyle name="SAPBEXheaderItem 2 2 2" xfId="940"/>
    <cellStyle name="SAPBEXheaderItem 2 2 2 2" xfId="1955"/>
    <cellStyle name="SAPBEXheaderItem 2 2 3" xfId="941"/>
    <cellStyle name="SAPBEXheaderItem 2 2 3 2" xfId="1956"/>
    <cellStyle name="SAPBEXheaderItem 2 2 4" xfId="942"/>
    <cellStyle name="SAPBEXheaderItem 2 2 4 2" xfId="1957"/>
    <cellStyle name="SAPBEXheaderItem 2 2 5" xfId="943"/>
    <cellStyle name="SAPBEXheaderItem 2 2 5 2" xfId="1958"/>
    <cellStyle name="SAPBEXheaderItem 2 2 6" xfId="944"/>
    <cellStyle name="SAPBEXheaderItem 2 2 6 2" xfId="1959"/>
    <cellStyle name="SAPBEXheaderItem 2 2 7" xfId="1960"/>
    <cellStyle name="SAPBEXheaderItem 2 3" xfId="945"/>
    <cellStyle name="SAPBEXheaderItem 2 3 2" xfId="1961"/>
    <cellStyle name="SAPBEXheaderItem 2 4" xfId="946"/>
    <cellStyle name="SAPBEXheaderItem 2 4 2" xfId="1962"/>
    <cellStyle name="SAPBEXheaderItem 2 5" xfId="947"/>
    <cellStyle name="SAPBEXheaderItem 2 5 2" xfId="1963"/>
    <cellStyle name="SAPBEXheaderItem 2 6" xfId="948"/>
    <cellStyle name="SAPBEXheaderItem 2 6 2" xfId="1964"/>
    <cellStyle name="SAPBEXheaderItem 2 7" xfId="1965"/>
    <cellStyle name="SAPBEXheaderItem 2 7 2" xfId="1966"/>
    <cellStyle name="SAPBEXheaderItem 3" xfId="485"/>
    <cellStyle name="SAPBEXheaderItem 3 2" xfId="949"/>
    <cellStyle name="SAPBEXheaderItem 3 2 2" xfId="1967"/>
    <cellStyle name="SAPBEXheaderItem 3 3" xfId="950"/>
    <cellStyle name="SAPBEXheaderItem 3 3 2" xfId="1968"/>
    <cellStyle name="SAPBEXheaderItem 3 4" xfId="951"/>
    <cellStyle name="SAPBEXheaderItem 3 4 2" xfId="1969"/>
    <cellStyle name="SAPBEXheaderItem 3 5" xfId="952"/>
    <cellStyle name="SAPBEXheaderItem 3 5 2" xfId="1970"/>
    <cellStyle name="SAPBEXheaderItem 3 6" xfId="953"/>
    <cellStyle name="SAPBEXheaderItem 3 6 2" xfId="1971"/>
    <cellStyle name="SAPBEXheaderItem 3 7" xfId="1972"/>
    <cellStyle name="SAPBEXheaderItem 4" xfId="954"/>
    <cellStyle name="SAPBEXheaderItem 4 2" xfId="1973"/>
    <cellStyle name="SAPBEXheaderItem 5" xfId="955"/>
    <cellStyle name="SAPBEXheaderItem 5 2" xfId="1974"/>
    <cellStyle name="SAPBEXheaderItem 6" xfId="956"/>
    <cellStyle name="SAPBEXheaderItem 6 2" xfId="1975"/>
    <cellStyle name="SAPBEXheaderItem 7" xfId="957"/>
    <cellStyle name="SAPBEXheaderItem 7 2" xfId="1976"/>
    <cellStyle name="SAPBEXheaderItem 8" xfId="939"/>
    <cellStyle name="SAPBEXheaderItem 8 2" xfId="1977"/>
    <cellStyle name="SAPBEXheaderItem 9" xfId="1978"/>
    <cellStyle name="SAPBEXheaderItem 9 2" xfId="1979"/>
    <cellStyle name="SAPBEXheaderItem_20120921_SF-grote-ronde-Liesbethdump2" xfId="383"/>
    <cellStyle name="SAPBEXheaderText" xfId="75"/>
    <cellStyle name="SAPBEXheaderText 2" xfId="384"/>
    <cellStyle name="SAPBEXheaderText 2 2" xfId="486"/>
    <cellStyle name="SAPBEXheaderText 2 2 2" xfId="959"/>
    <cellStyle name="SAPBEXheaderText 2 2 2 2" xfId="1980"/>
    <cellStyle name="SAPBEXheaderText 2 2 3" xfId="960"/>
    <cellStyle name="SAPBEXheaderText 2 2 3 2" xfId="1981"/>
    <cellStyle name="SAPBEXheaderText 2 2 4" xfId="961"/>
    <cellStyle name="SAPBEXheaderText 2 2 4 2" xfId="1982"/>
    <cellStyle name="SAPBEXheaderText 2 2 5" xfId="962"/>
    <cellStyle name="SAPBEXheaderText 2 2 5 2" xfId="1983"/>
    <cellStyle name="SAPBEXheaderText 2 2 6" xfId="963"/>
    <cellStyle name="SAPBEXheaderText 2 2 6 2" xfId="1984"/>
    <cellStyle name="SAPBEXheaderText 2 2 7" xfId="1985"/>
    <cellStyle name="SAPBEXheaderText 2 3" xfId="964"/>
    <cellStyle name="SAPBEXheaderText 2 3 2" xfId="1986"/>
    <cellStyle name="SAPBEXheaderText 2 4" xfId="965"/>
    <cellStyle name="SAPBEXheaderText 2 4 2" xfId="1987"/>
    <cellStyle name="SAPBEXheaderText 2 5" xfId="966"/>
    <cellStyle name="SAPBEXheaderText 2 5 2" xfId="1988"/>
    <cellStyle name="SAPBEXheaderText 2 6" xfId="967"/>
    <cellStyle name="SAPBEXheaderText 2 6 2" xfId="1989"/>
    <cellStyle name="SAPBEXheaderText 2 7" xfId="1990"/>
    <cellStyle name="SAPBEXheaderText 3" xfId="487"/>
    <cellStyle name="SAPBEXheaderText 3 2" xfId="968"/>
    <cellStyle name="SAPBEXheaderText 3 2 2" xfId="1991"/>
    <cellStyle name="SAPBEXheaderText 3 3" xfId="969"/>
    <cellStyle name="SAPBEXheaderText 3 3 2" xfId="1992"/>
    <cellStyle name="SAPBEXheaderText 3 4" xfId="970"/>
    <cellStyle name="SAPBEXheaderText 3 4 2" xfId="1993"/>
    <cellStyle name="SAPBEXheaderText 3 5" xfId="971"/>
    <cellStyle name="SAPBEXheaderText 3 5 2" xfId="1994"/>
    <cellStyle name="SAPBEXheaderText 3 6" xfId="972"/>
    <cellStyle name="SAPBEXheaderText 3 6 2" xfId="1995"/>
    <cellStyle name="SAPBEXheaderText 3 7" xfId="1996"/>
    <cellStyle name="SAPBEXheaderText 4" xfId="973"/>
    <cellStyle name="SAPBEXheaderText 4 2" xfId="1997"/>
    <cellStyle name="SAPBEXheaderText 5" xfId="974"/>
    <cellStyle name="SAPBEXheaderText 5 2" xfId="1998"/>
    <cellStyle name="SAPBEXheaderText 6" xfId="975"/>
    <cellStyle name="SAPBEXheaderText 6 2" xfId="1999"/>
    <cellStyle name="SAPBEXheaderText 7" xfId="976"/>
    <cellStyle name="SAPBEXheaderText 7 2" xfId="2000"/>
    <cellStyle name="SAPBEXheaderText 8" xfId="958"/>
    <cellStyle name="SAPBEXheaderText 8 2" xfId="2001"/>
    <cellStyle name="SAPBEXheaderText 9" xfId="2002"/>
    <cellStyle name="SAPBEXheaderText_20120921_SF-grote-ronde-Liesbethdump2" xfId="385"/>
    <cellStyle name="SAPBEXHLevel0" xfId="76"/>
    <cellStyle name="SAPBEXHLevel0 2" xfId="386"/>
    <cellStyle name="SAPBEXHLevel0 2 2" xfId="488"/>
    <cellStyle name="SAPBEXHLevel0 2 2 2" xfId="978"/>
    <cellStyle name="SAPBEXHLevel0 2 2 2 2" xfId="2003"/>
    <cellStyle name="SAPBEXHLevel0 2 2 3" xfId="979"/>
    <cellStyle name="SAPBEXHLevel0 2 2 3 2" xfId="2004"/>
    <cellStyle name="SAPBEXHLevel0 2 2 4" xfId="980"/>
    <cellStyle name="SAPBEXHLevel0 2 2 4 2" xfId="2005"/>
    <cellStyle name="SAPBEXHLevel0 2 2 5" xfId="981"/>
    <cellStyle name="SAPBEXHLevel0 2 2 5 2" xfId="2006"/>
    <cellStyle name="SAPBEXHLevel0 2 2 6" xfId="982"/>
    <cellStyle name="SAPBEXHLevel0 2 2 6 2" xfId="2007"/>
    <cellStyle name="SAPBEXHLevel0 2 2 7" xfId="2008"/>
    <cellStyle name="SAPBEXHLevel0 2 3" xfId="983"/>
    <cellStyle name="SAPBEXHLevel0 2 3 2" xfId="2009"/>
    <cellStyle name="SAPBEXHLevel0 2 4" xfId="984"/>
    <cellStyle name="SAPBEXHLevel0 2 4 2" xfId="2010"/>
    <cellStyle name="SAPBEXHLevel0 2 5" xfId="985"/>
    <cellStyle name="SAPBEXHLevel0 2 5 2" xfId="2011"/>
    <cellStyle name="SAPBEXHLevel0 2 6" xfId="986"/>
    <cellStyle name="SAPBEXHLevel0 2 6 2" xfId="2012"/>
    <cellStyle name="SAPBEXHLevel0 2 7" xfId="2013"/>
    <cellStyle name="SAPBEXHLevel0 2 7 2" xfId="2014"/>
    <cellStyle name="SAPBEXHLevel0 3" xfId="489"/>
    <cellStyle name="SAPBEXHLevel0 3 2" xfId="987"/>
    <cellStyle name="SAPBEXHLevel0 3 2 2" xfId="2015"/>
    <cellStyle name="SAPBEXHLevel0 3 3" xfId="988"/>
    <cellStyle name="SAPBEXHLevel0 3 3 2" xfId="2016"/>
    <cellStyle name="SAPBEXHLevel0 3 4" xfId="989"/>
    <cellStyle name="SAPBEXHLevel0 3 4 2" xfId="2017"/>
    <cellStyle name="SAPBEXHLevel0 3 5" xfId="990"/>
    <cellStyle name="SAPBEXHLevel0 3 5 2" xfId="2018"/>
    <cellStyle name="SAPBEXHLevel0 3 6" xfId="991"/>
    <cellStyle name="SAPBEXHLevel0 3 6 2" xfId="2019"/>
    <cellStyle name="SAPBEXHLevel0 3 7" xfId="2020"/>
    <cellStyle name="SAPBEXHLevel0 4" xfId="992"/>
    <cellStyle name="SAPBEXHLevel0 4 2" xfId="2021"/>
    <cellStyle name="SAPBEXHLevel0 5" xfId="993"/>
    <cellStyle name="SAPBEXHLevel0 5 2" xfId="2022"/>
    <cellStyle name="SAPBEXHLevel0 6" xfId="994"/>
    <cellStyle name="SAPBEXHLevel0 6 2" xfId="2023"/>
    <cellStyle name="SAPBEXHLevel0 7" xfId="995"/>
    <cellStyle name="SAPBEXHLevel0 7 2" xfId="2024"/>
    <cellStyle name="SAPBEXHLevel0 8" xfId="977"/>
    <cellStyle name="SAPBEXHLevel0 8 2" xfId="2025"/>
    <cellStyle name="SAPBEXHLevel0 9" xfId="2026"/>
    <cellStyle name="SAPBEXHLevel0 9 2" xfId="2027"/>
    <cellStyle name="SAPBEXHLevel0_20120921_SF-grote-ronde-Liesbethdump2" xfId="387"/>
    <cellStyle name="SAPBEXHLevel0X" xfId="77"/>
    <cellStyle name="SAPBEXHLevel0X 2" xfId="490"/>
    <cellStyle name="SAPBEXHLevel0X 2 2" xfId="997"/>
    <cellStyle name="SAPBEXHLevel0X 2 2 2" xfId="2028"/>
    <cellStyle name="SAPBEXHLevel0X 2 3" xfId="998"/>
    <cellStyle name="SAPBEXHLevel0X 2 3 2" xfId="2029"/>
    <cellStyle name="SAPBEXHLevel0X 2 4" xfId="999"/>
    <cellStyle name="SAPBEXHLevel0X 2 4 2" xfId="2030"/>
    <cellStyle name="SAPBEXHLevel0X 2 5" xfId="1000"/>
    <cellStyle name="SAPBEXHLevel0X 2 5 2" xfId="2031"/>
    <cellStyle name="SAPBEXHLevel0X 2 6" xfId="1001"/>
    <cellStyle name="SAPBEXHLevel0X 2 6 2" xfId="2032"/>
    <cellStyle name="SAPBEXHLevel0X 2 7" xfId="2033"/>
    <cellStyle name="SAPBEXHLevel0X 3" xfId="1002"/>
    <cellStyle name="SAPBEXHLevel0X 3 2" xfId="2034"/>
    <cellStyle name="SAPBEXHLevel0X 4" xfId="1003"/>
    <cellStyle name="SAPBEXHLevel0X 4 2" xfId="2035"/>
    <cellStyle name="SAPBEXHLevel0X 5" xfId="1004"/>
    <cellStyle name="SAPBEXHLevel0X 5 2" xfId="2036"/>
    <cellStyle name="SAPBEXHLevel0X 6" xfId="1005"/>
    <cellStyle name="SAPBEXHLevel0X 6 2" xfId="2037"/>
    <cellStyle name="SAPBEXHLevel0X 7" xfId="1006"/>
    <cellStyle name="SAPBEXHLevel0X 7 2" xfId="2038"/>
    <cellStyle name="SAPBEXHLevel0X 8" xfId="996"/>
    <cellStyle name="SAPBEXHLevel0X 8 2" xfId="2039"/>
    <cellStyle name="SAPBEXHLevel0X 9" xfId="2040"/>
    <cellStyle name="SAPBEXHLevel0X 9 2" xfId="2041"/>
    <cellStyle name="SAPBEXHLevel1" xfId="78"/>
    <cellStyle name="SAPBEXHLevel1 2" xfId="388"/>
    <cellStyle name="SAPBEXHLevel1 2 2" xfId="491"/>
    <cellStyle name="SAPBEXHLevel1 2 2 2" xfId="1008"/>
    <cellStyle name="SAPBEXHLevel1 2 2 2 2" xfId="2042"/>
    <cellStyle name="SAPBEXHLevel1 2 2 3" xfId="1009"/>
    <cellStyle name="SAPBEXHLevel1 2 2 3 2" xfId="2043"/>
    <cellStyle name="SAPBEXHLevel1 2 2 4" xfId="1010"/>
    <cellStyle name="SAPBEXHLevel1 2 2 4 2" xfId="2044"/>
    <cellStyle name="SAPBEXHLevel1 2 2 5" xfId="1011"/>
    <cellStyle name="SAPBEXHLevel1 2 2 5 2" xfId="2045"/>
    <cellStyle name="SAPBEXHLevel1 2 2 6" xfId="1012"/>
    <cellStyle name="SAPBEXHLevel1 2 2 6 2" xfId="2046"/>
    <cellStyle name="SAPBEXHLevel1 2 2 7" xfId="2047"/>
    <cellStyle name="SAPBEXHLevel1 2 3" xfId="1013"/>
    <cellStyle name="SAPBEXHLevel1 2 3 2" xfId="2048"/>
    <cellStyle name="SAPBEXHLevel1 2 4" xfId="1014"/>
    <cellStyle name="SAPBEXHLevel1 2 4 2" xfId="2049"/>
    <cellStyle name="SAPBEXHLevel1 2 5" xfId="1015"/>
    <cellStyle name="SAPBEXHLevel1 2 5 2" xfId="2050"/>
    <cellStyle name="SAPBEXHLevel1 2 6" xfId="1016"/>
    <cellStyle name="SAPBEXHLevel1 2 6 2" xfId="2051"/>
    <cellStyle name="SAPBEXHLevel1 2 7" xfId="2052"/>
    <cellStyle name="SAPBEXHLevel1 3" xfId="492"/>
    <cellStyle name="SAPBEXHLevel1 3 2" xfId="1017"/>
    <cellStyle name="SAPBEXHLevel1 3 2 2" xfId="2053"/>
    <cellStyle name="SAPBEXHLevel1 3 3" xfId="1018"/>
    <cellStyle name="SAPBEXHLevel1 3 3 2" xfId="2054"/>
    <cellStyle name="SAPBEXHLevel1 3 4" xfId="1019"/>
    <cellStyle name="SAPBEXHLevel1 3 4 2" xfId="2055"/>
    <cellStyle name="SAPBEXHLevel1 3 5" xfId="1020"/>
    <cellStyle name="SAPBEXHLevel1 3 5 2" xfId="2056"/>
    <cellStyle name="SAPBEXHLevel1 3 6" xfId="1021"/>
    <cellStyle name="SAPBEXHLevel1 3 6 2" xfId="2057"/>
    <cellStyle name="SAPBEXHLevel1 3 7" xfId="2058"/>
    <cellStyle name="SAPBEXHLevel1 4" xfId="1022"/>
    <cellStyle name="SAPBEXHLevel1 4 2" xfId="2059"/>
    <cellStyle name="SAPBEXHLevel1 5" xfId="1023"/>
    <cellStyle name="SAPBEXHLevel1 5 2" xfId="2060"/>
    <cellStyle name="SAPBEXHLevel1 6" xfId="1024"/>
    <cellStyle name="SAPBEXHLevel1 6 2" xfId="2061"/>
    <cellStyle name="SAPBEXHLevel1 7" xfId="1025"/>
    <cellStyle name="SAPBEXHLevel1 7 2" xfId="2062"/>
    <cellStyle name="SAPBEXHLevel1 8" xfId="1007"/>
    <cellStyle name="SAPBEXHLevel1 8 2" xfId="2063"/>
    <cellStyle name="SAPBEXHLevel1 9" xfId="2064"/>
    <cellStyle name="SAPBEXHLevel1_20120921_SF-grote-ronde-Liesbethdump2" xfId="389"/>
    <cellStyle name="SAPBEXHLevel1X" xfId="79"/>
    <cellStyle name="SAPBEXHLevel1X 2" xfId="493"/>
    <cellStyle name="SAPBEXHLevel1X 2 2" xfId="1027"/>
    <cellStyle name="SAPBEXHLevel1X 2 2 2" xfId="2065"/>
    <cellStyle name="SAPBEXHLevel1X 2 3" xfId="1028"/>
    <cellStyle name="SAPBEXHLevel1X 2 3 2" xfId="2066"/>
    <cellStyle name="SAPBEXHLevel1X 2 4" xfId="1029"/>
    <cellStyle name="SAPBEXHLevel1X 2 4 2" xfId="2067"/>
    <cellStyle name="SAPBEXHLevel1X 2 5" xfId="1030"/>
    <cellStyle name="SAPBEXHLevel1X 2 5 2" xfId="2068"/>
    <cellStyle name="SAPBEXHLevel1X 2 6" xfId="1031"/>
    <cellStyle name="SAPBEXHLevel1X 2 6 2" xfId="2069"/>
    <cellStyle name="SAPBEXHLevel1X 2 7" xfId="2070"/>
    <cellStyle name="SAPBEXHLevel1X 3" xfId="1032"/>
    <cellStyle name="SAPBEXHLevel1X 3 2" xfId="2071"/>
    <cellStyle name="SAPBEXHLevel1X 4" xfId="1033"/>
    <cellStyle name="SAPBEXHLevel1X 4 2" xfId="2072"/>
    <cellStyle name="SAPBEXHLevel1X 5" xfId="1034"/>
    <cellStyle name="SAPBEXHLevel1X 5 2" xfId="2073"/>
    <cellStyle name="SAPBEXHLevel1X 6" xfId="1035"/>
    <cellStyle name="SAPBEXHLevel1X 6 2" xfId="2074"/>
    <cellStyle name="SAPBEXHLevel1X 7" xfId="1036"/>
    <cellStyle name="SAPBEXHLevel1X 7 2" xfId="2075"/>
    <cellStyle name="SAPBEXHLevel1X 8" xfId="1026"/>
    <cellStyle name="SAPBEXHLevel1X 8 2" xfId="2076"/>
    <cellStyle name="SAPBEXHLevel1X 9" xfId="2077"/>
    <cellStyle name="SAPBEXHLevel2" xfId="80"/>
    <cellStyle name="SAPBEXHLevel2 2" xfId="390"/>
    <cellStyle name="SAPBEXHLevel2 2 2" xfId="494"/>
    <cellStyle name="SAPBEXHLevel2 2 2 2" xfId="1038"/>
    <cellStyle name="SAPBEXHLevel2 2 2 2 2" xfId="2078"/>
    <cellStyle name="SAPBEXHLevel2 2 2 3" xfId="1039"/>
    <cellStyle name="SAPBEXHLevel2 2 2 3 2" xfId="2079"/>
    <cellStyle name="SAPBEXHLevel2 2 2 4" xfId="1040"/>
    <cellStyle name="SAPBEXHLevel2 2 2 4 2" xfId="2080"/>
    <cellStyle name="SAPBEXHLevel2 2 2 5" xfId="1041"/>
    <cellStyle name="SAPBEXHLevel2 2 2 5 2" xfId="2081"/>
    <cellStyle name="SAPBEXHLevel2 2 2 6" xfId="1042"/>
    <cellStyle name="SAPBEXHLevel2 2 2 6 2" xfId="2082"/>
    <cellStyle name="SAPBEXHLevel2 2 2 7" xfId="2083"/>
    <cellStyle name="SAPBEXHLevel2 2 3" xfId="1043"/>
    <cellStyle name="SAPBEXHLevel2 2 3 2" xfId="2084"/>
    <cellStyle name="SAPBEXHLevel2 2 4" xfId="1044"/>
    <cellStyle name="SAPBEXHLevel2 2 4 2" xfId="2085"/>
    <cellStyle name="SAPBEXHLevel2 2 5" xfId="1045"/>
    <cellStyle name="SAPBEXHLevel2 2 5 2" xfId="2086"/>
    <cellStyle name="SAPBEXHLevel2 2 6" xfId="1046"/>
    <cellStyle name="SAPBEXHLevel2 2 6 2" xfId="2087"/>
    <cellStyle name="SAPBEXHLevel2 2 7" xfId="2088"/>
    <cellStyle name="SAPBEXHLevel2 3" xfId="495"/>
    <cellStyle name="SAPBEXHLevel2 3 2" xfId="1047"/>
    <cellStyle name="SAPBEXHLevel2 3 2 2" xfId="2089"/>
    <cellStyle name="SAPBEXHLevel2 3 3" xfId="1048"/>
    <cellStyle name="SAPBEXHLevel2 3 3 2" xfId="2090"/>
    <cellStyle name="SAPBEXHLevel2 3 4" xfId="1049"/>
    <cellStyle name="SAPBEXHLevel2 3 4 2" xfId="2091"/>
    <cellStyle name="SAPBEXHLevel2 3 5" xfId="1050"/>
    <cellStyle name="SAPBEXHLevel2 3 5 2" xfId="2092"/>
    <cellStyle name="SAPBEXHLevel2 3 6" xfId="1051"/>
    <cellStyle name="SAPBEXHLevel2 3 6 2" xfId="2093"/>
    <cellStyle name="SAPBEXHLevel2 3 7" xfId="2094"/>
    <cellStyle name="SAPBEXHLevel2 4" xfId="1052"/>
    <cellStyle name="SAPBEXHLevel2 4 2" xfId="2095"/>
    <cellStyle name="SAPBEXHLevel2 5" xfId="1053"/>
    <cellStyle name="SAPBEXHLevel2 5 2" xfId="2096"/>
    <cellStyle name="SAPBEXHLevel2 6" xfId="1054"/>
    <cellStyle name="SAPBEXHLevel2 6 2" xfId="2097"/>
    <cellStyle name="SAPBEXHLevel2 7" xfId="1055"/>
    <cellStyle name="SAPBEXHLevel2 7 2" xfId="2098"/>
    <cellStyle name="SAPBEXHLevel2 8" xfId="1037"/>
    <cellStyle name="SAPBEXHLevel2 8 2" xfId="2099"/>
    <cellStyle name="SAPBEXHLevel2 9" xfId="2100"/>
    <cellStyle name="SAPBEXHLevel2_20120921_SF-grote-ronde-Liesbethdump2" xfId="391"/>
    <cellStyle name="SAPBEXHLevel2X" xfId="81"/>
    <cellStyle name="SAPBEXHLevel2X 2" xfId="496"/>
    <cellStyle name="SAPBEXHLevel2X 2 2" xfId="1057"/>
    <cellStyle name="SAPBEXHLevel2X 2 2 2" xfId="2101"/>
    <cellStyle name="SAPBEXHLevel2X 2 3" xfId="1058"/>
    <cellStyle name="SAPBEXHLevel2X 2 3 2" xfId="2102"/>
    <cellStyle name="SAPBEXHLevel2X 2 4" xfId="1059"/>
    <cellStyle name="SAPBEXHLevel2X 2 4 2" xfId="2103"/>
    <cellStyle name="SAPBEXHLevel2X 2 5" xfId="1060"/>
    <cellStyle name="SAPBEXHLevel2X 2 5 2" xfId="2104"/>
    <cellStyle name="SAPBEXHLevel2X 2 6" xfId="1061"/>
    <cellStyle name="SAPBEXHLevel2X 2 6 2" xfId="2105"/>
    <cellStyle name="SAPBEXHLevel2X 2 7" xfId="2106"/>
    <cellStyle name="SAPBEXHLevel2X 3" xfId="1062"/>
    <cellStyle name="SAPBEXHLevel2X 3 2" xfId="2107"/>
    <cellStyle name="SAPBEXHLevel2X 4" xfId="1063"/>
    <cellStyle name="SAPBEXHLevel2X 4 2" xfId="2108"/>
    <cellStyle name="SAPBEXHLevel2X 5" xfId="1064"/>
    <cellStyle name="SAPBEXHLevel2X 5 2" xfId="2109"/>
    <cellStyle name="SAPBEXHLevel2X 6" xfId="1065"/>
    <cellStyle name="SAPBEXHLevel2X 6 2" xfId="2110"/>
    <cellStyle name="SAPBEXHLevel2X 7" xfId="1066"/>
    <cellStyle name="SAPBEXHLevel2X 7 2" xfId="2111"/>
    <cellStyle name="SAPBEXHLevel2X 8" xfId="1056"/>
    <cellStyle name="SAPBEXHLevel2X 8 2" xfId="2112"/>
    <cellStyle name="SAPBEXHLevel2X 9" xfId="2113"/>
    <cellStyle name="SAPBEXHLevel3" xfId="82"/>
    <cellStyle name="SAPBEXHLevel3 2" xfId="392"/>
    <cellStyle name="SAPBEXHLevel3 2 2" xfId="497"/>
    <cellStyle name="SAPBEXHLevel3 2 2 2" xfId="1068"/>
    <cellStyle name="SAPBEXHLevel3 2 2 2 2" xfId="2114"/>
    <cellStyle name="SAPBEXHLevel3 2 2 3" xfId="1069"/>
    <cellStyle name="SAPBEXHLevel3 2 2 3 2" xfId="2115"/>
    <cellStyle name="SAPBEXHLevel3 2 2 4" xfId="1070"/>
    <cellStyle name="SAPBEXHLevel3 2 2 4 2" xfId="2116"/>
    <cellStyle name="SAPBEXHLevel3 2 2 5" xfId="1071"/>
    <cellStyle name="SAPBEXHLevel3 2 2 5 2" xfId="2117"/>
    <cellStyle name="SAPBEXHLevel3 2 2 6" xfId="1072"/>
    <cellStyle name="SAPBEXHLevel3 2 2 6 2" xfId="2118"/>
    <cellStyle name="SAPBEXHLevel3 2 2 7" xfId="2119"/>
    <cellStyle name="SAPBEXHLevel3 2 3" xfId="1073"/>
    <cellStyle name="SAPBEXHLevel3 2 3 2" xfId="2120"/>
    <cellStyle name="SAPBEXHLevel3 2 4" xfId="1074"/>
    <cellStyle name="SAPBEXHLevel3 2 4 2" xfId="2121"/>
    <cellStyle name="SAPBEXHLevel3 2 5" xfId="1075"/>
    <cellStyle name="SAPBEXHLevel3 2 5 2" xfId="2122"/>
    <cellStyle name="SAPBEXHLevel3 2 6" xfId="1076"/>
    <cellStyle name="SAPBEXHLevel3 2 6 2" xfId="2123"/>
    <cellStyle name="SAPBEXHLevel3 2 7" xfId="2124"/>
    <cellStyle name="SAPBEXHLevel3 3" xfId="498"/>
    <cellStyle name="SAPBEXHLevel3 3 2" xfId="1077"/>
    <cellStyle name="SAPBEXHLevel3 3 2 2" xfId="2125"/>
    <cellStyle name="SAPBEXHLevel3 3 3" xfId="1078"/>
    <cellStyle name="SAPBEXHLevel3 3 3 2" xfId="2126"/>
    <cellStyle name="SAPBEXHLevel3 3 4" xfId="1079"/>
    <cellStyle name="SAPBEXHLevel3 3 4 2" xfId="2127"/>
    <cellStyle name="SAPBEXHLevel3 3 5" xfId="1080"/>
    <cellStyle name="SAPBEXHLevel3 3 5 2" xfId="2128"/>
    <cellStyle name="SAPBEXHLevel3 3 6" xfId="1081"/>
    <cellStyle name="SAPBEXHLevel3 3 6 2" xfId="2129"/>
    <cellStyle name="SAPBEXHLevel3 3 7" xfId="2130"/>
    <cellStyle name="SAPBEXHLevel3 4" xfId="1082"/>
    <cellStyle name="SAPBEXHLevel3 4 2" xfId="2131"/>
    <cellStyle name="SAPBEXHLevel3 5" xfId="1083"/>
    <cellStyle name="SAPBEXHLevel3 5 2" xfId="2132"/>
    <cellStyle name="SAPBEXHLevel3 6" xfId="1084"/>
    <cellStyle name="SAPBEXHLevel3 6 2" xfId="2133"/>
    <cellStyle name="SAPBEXHLevel3 7" xfId="1085"/>
    <cellStyle name="SAPBEXHLevel3 7 2" xfId="2134"/>
    <cellStyle name="SAPBEXHLevel3 8" xfId="1067"/>
    <cellStyle name="SAPBEXHLevel3 8 2" xfId="2135"/>
    <cellStyle name="SAPBEXHLevel3 9" xfId="2136"/>
    <cellStyle name="SAPBEXHLevel3_20120921_SF-grote-ronde-Liesbethdump2" xfId="393"/>
    <cellStyle name="SAPBEXHLevel3X" xfId="83"/>
    <cellStyle name="SAPBEXHLevel3X 2" xfId="499"/>
    <cellStyle name="SAPBEXHLevel3X 2 2" xfId="1087"/>
    <cellStyle name="SAPBEXHLevel3X 2 2 2" xfId="2137"/>
    <cellStyle name="SAPBEXHLevel3X 2 3" xfId="1088"/>
    <cellStyle name="SAPBEXHLevel3X 2 3 2" xfId="2138"/>
    <cellStyle name="SAPBEXHLevel3X 2 4" xfId="1089"/>
    <cellStyle name="SAPBEXHLevel3X 2 4 2" xfId="2139"/>
    <cellStyle name="SAPBEXHLevel3X 2 5" xfId="1090"/>
    <cellStyle name="SAPBEXHLevel3X 2 5 2" xfId="2140"/>
    <cellStyle name="SAPBEXHLevel3X 2 6" xfId="1091"/>
    <cellStyle name="SAPBEXHLevel3X 2 6 2" xfId="2141"/>
    <cellStyle name="SAPBEXHLevel3X 2 7" xfId="2142"/>
    <cellStyle name="SAPBEXHLevel3X 3" xfId="1092"/>
    <cellStyle name="SAPBEXHLevel3X 3 2" xfId="2143"/>
    <cellStyle name="SAPBEXHLevel3X 4" xfId="1093"/>
    <cellStyle name="SAPBEXHLevel3X 4 2" xfId="2144"/>
    <cellStyle name="SAPBEXHLevel3X 5" xfId="1094"/>
    <cellStyle name="SAPBEXHLevel3X 5 2" xfId="2145"/>
    <cellStyle name="SAPBEXHLevel3X 6" xfId="1095"/>
    <cellStyle name="SAPBEXHLevel3X 6 2" xfId="2146"/>
    <cellStyle name="SAPBEXHLevel3X 7" xfId="1096"/>
    <cellStyle name="SAPBEXHLevel3X 7 2" xfId="2147"/>
    <cellStyle name="SAPBEXHLevel3X 8" xfId="1086"/>
    <cellStyle name="SAPBEXHLevel3X 8 2" xfId="2148"/>
    <cellStyle name="SAPBEXHLevel3X 9" xfId="2149"/>
    <cellStyle name="SAPBEXHLevel3X 9 2" xfId="2150"/>
    <cellStyle name="SAPBEXinputData" xfId="84"/>
    <cellStyle name="SAPBEXinputData 2" xfId="2151"/>
    <cellStyle name="SAPBEXItemHeader" xfId="85"/>
    <cellStyle name="SAPBEXItemHeader 2" xfId="500"/>
    <cellStyle name="SAPBEXItemHeader 2 2" xfId="1097"/>
    <cellStyle name="SAPBEXItemHeader 2 2 2" xfId="2152"/>
    <cellStyle name="SAPBEXItemHeader 2 3" xfId="1098"/>
    <cellStyle name="SAPBEXItemHeader 2 3 2" xfId="2153"/>
    <cellStyle name="SAPBEXItemHeader 2 4" xfId="1099"/>
    <cellStyle name="SAPBEXItemHeader 2 4 2" xfId="2154"/>
    <cellStyle name="SAPBEXItemHeader 2 5" xfId="1100"/>
    <cellStyle name="SAPBEXItemHeader 2 5 2" xfId="2155"/>
    <cellStyle name="SAPBEXItemHeader 2 6" xfId="1101"/>
    <cellStyle name="SAPBEXItemHeader 2 6 2" xfId="2156"/>
    <cellStyle name="SAPBEXItemHeader 2 7" xfId="2157"/>
    <cellStyle name="SAPBEXItemHeader 3" xfId="1102"/>
    <cellStyle name="SAPBEXItemHeader 3 2" xfId="2158"/>
    <cellStyle name="SAPBEXItemHeader 4" xfId="1103"/>
    <cellStyle name="SAPBEXItemHeader 4 2" xfId="2159"/>
    <cellStyle name="SAPBEXItemHeader 5" xfId="1104"/>
    <cellStyle name="SAPBEXItemHeader 5 2" xfId="2160"/>
    <cellStyle name="SAPBEXItemHeader 6" xfId="1105"/>
    <cellStyle name="SAPBEXItemHeader 6 2" xfId="2161"/>
    <cellStyle name="SAPBEXItemHeader 7" xfId="2162"/>
    <cellStyle name="SAPBEXItemHeader 7 2" xfId="2163"/>
    <cellStyle name="SAPBEXresData" xfId="86"/>
    <cellStyle name="SAPBEXresData 2" xfId="501"/>
    <cellStyle name="SAPBEXresData 2 2" xfId="1107"/>
    <cellStyle name="SAPBEXresData 2 2 2" xfId="2164"/>
    <cellStyle name="SAPBEXresData 2 3" xfId="1108"/>
    <cellStyle name="SAPBEXresData 2 3 2" xfId="2165"/>
    <cellStyle name="SAPBEXresData 2 4" xfId="1109"/>
    <cellStyle name="SAPBEXresData 2 4 2" xfId="2166"/>
    <cellStyle name="SAPBEXresData 2 5" xfId="1110"/>
    <cellStyle name="SAPBEXresData 2 5 2" xfId="2167"/>
    <cellStyle name="SAPBEXresData 2 6" xfId="1111"/>
    <cellStyle name="SAPBEXresData 2 6 2" xfId="2168"/>
    <cellStyle name="SAPBEXresData 2 7" xfId="2169"/>
    <cellStyle name="SAPBEXresData 3" xfId="1112"/>
    <cellStyle name="SAPBEXresData 3 2" xfId="2170"/>
    <cellStyle name="SAPBEXresData 4" xfId="1113"/>
    <cellStyle name="SAPBEXresData 4 2" xfId="2171"/>
    <cellStyle name="SAPBEXresData 5" xfId="1114"/>
    <cellStyle name="SAPBEXresData 5 2" xfId="2172"/>
    <cellStyle name="SAPBEXresData 6" xfId="1115"/>
    <cellStyle name="SAPBEXresData 6 2" xfId="2173"/>
    <cellStyle name="SAPBEXresData 7" xfId="1116"/>
    <cellStyle name="SAPBEXresData 7 2" xfId="2174"/>
    <cellStyle name="SAPBEXresData 8" xfId="1106"/>
    <cellStyle name="SAPBEXresData 8 2" xfId="2175"/>
    <cellStyle name="SAPBEXresData 9" xfId="2176"/>
    <cellStyle name="SAPBEXresDataEmph" xfId="87"/>
    <cellStyle name="SAPBEXresDataEmph 2" xfId="394"/>
    <cellStyle name="SAPBEXresDataEmph 2 2" xfId="502"/>
    <cellStyle name="SAPBEXresDataEmph 2 2 2" xfId="1118"/>
    <cellStyle name="SAPBEXresDataEmph 2 2 2 2" xfId="2177"/>
    <cellStyle name="SAPBEXresDataEmph 2 2 3" xfId="1119"/>
    <cellStyle name="SAPBEXresDataEmph 2 2 3 2" xfId="2178"/>
    <cellStyle name="SAPBEXresDataEmph 2 2 4" xfId="1120"/>
    <cellStyle name="SAPBEXresDataEmph 2 2 4 2" xfId="2179"/>
    <cellStyle name="SAPBEXresDataEmph 2 2 5" xfId="1121"/>
    <cellStyle name="SAPBEXresDataEmph 2 2 5 2" xfId="2180"/>
    <cellStyle name="SAPBEXresDataEmph 2 2 6" xfId="1122"/>
    <cellStyle name="SAPBEXresDataEmph 2 2 6 2" xfId="2181"/>
    <cellStyle name="SAPBEXresDataEmph 2 2 7" xfId="2182"/>
    <cellStyle name="SAPBEXresDataEmph 2 3" xfId="1123"/>
    <cellStyle name="SAPBEXresDataEmph 2 3 2" xfId="2183"/>
    <cellStyle name="SAPBEXresDataEmph 2 4" xfId="2184"/>
    <cellStyle name="SAPBEXresDataEmph 3" xfId="503"/>
    <cellStyle name="SAPBEXresDataEmph 3 2" xfId="1124"/>
    <cellStyle name="SAPBEXresDataEmph 3 2 2" xfId="2185"/>
    <cellStyle name="SAPBEXresDataEmph 3 3" xfId="1125"/>
    <cellStyle name="SAPBEXresDataEmph 3 3 2" xfId="2186"/>
    <cellStyle name="SAPBEXresDataEmph 3 4" xfId="1126"/>
    <cellStyle name="SAPBEXresDataEmph 3 4 2" xfId="2187"/>
    <cellStyle name="SAPBEXresDataEmph 3 5" xfId="1127"/>
    <cellStyle name="SAPBEXresDataEmph 3 5 2" xfId="2188"/>
    <cellStyle name="SAPBEXresDataEmph 3 6" xfId="1128"/>
    <cellStyle name="SAPBEXresDataEmph 3 6 2" xfId="2189"/>
    <cellStyle name="SAPBEXresDataEmph 3 7" xfId="2190"/>
    <cellStyle name="SAPBEXresDataEmph 4" xfId="1129"/>
    <cellStyle name="SAPBEXresDataEmph 4 2" xfId="2191"/>
    <cellStyle name="SAPBEXresDataEmph 5" xfId="1117"/>
    <cellStyle name="SAPBEXresDataEmph 5 2" xfId="2192"/>
    <cellStyle name="SAPBEXresDataEmph 6" xfId="2193"/>
    <cellStyle name="SAPBEXresDataEmph 6 2" xfId="2194"/>
    <cellStyle name="SAPBEXresDataEmph_20120921_SF-grote-ronde-Liesbethdump2" xfId="395"/>
    <cellStyle name="SAPBEXresItem" xfId="88"/>
    <cellStyle name="SAPBEXresItem 2" xfId="504"/>
    <cellStyle name="SAPBEXresItem 2 2" xfId="1131"/>
    <cellStyle name="SAPBEXresItem 2 2 2" xfId="2195"/>
    <cellStyle name="SAPBEXresItem 2 3" xfId="1132"/>
    <cellStyle name="SAPBEXresItem 2 3 2" xfId="2196"/>
    <cellStyle name="SAPBEXresItem 2 4" xfId="1133"/>
    <cellStyle name="SAPBEXresItem 2 4 2" xfId="2197"/>
    <cellStyle name="SAPBEXresItem 2 5" xfId="1134"/>
    <cellStyle name="SAPBEXresItem 2 5 2" xfId="2198"/>
    <cellStyle name="SAPBEXresItem 2 6" xfId="1135"/>
    <cellStyle name="SAPBEXresItem 2 6 2" xfId="2199"/>
    <cellStyle name="SAPBEXresItem 2 7" xfId="2200"/>
    <cellStyle name="SAPBEXresItem 3" xfId="1136"/>
    <cellStyle name="SAPBEXresItem 3 2" xfId="2201"/>
    <cellStyle name="SAPBEXresItem 4" xfId="1137"/>
    <cellStyle name="SAPBEXresItem 4 2" xfId="2202"/>
    <cellStyle name="SAPBEXresItem 5" xfId="1138"/>
    <cellStyle name="SAPBEXresItem 5 2" xfId="2203"/>
    <cellStyle name="SAPBEXresItem 6" xfId="1139"/>
    <cellStyle name="SAPBEXresItem 6 2" xfId="2204"/>
    <cellStyle name="SAPBEXresItem 7" xfId="1140"/>
    <cellStyle name="SAPBEXresItem 7 2" xfId="2205"/>
    <cellStyle name="SAPBEXresItem 8" xfId="1130"/>
    <cellStyle name="SAPBEXresItem 8 2" xfId="2206"/>
    <cellStyle name="SAPBEXresItem 9" xfId="2207"/>
    <cellStyle name="SAPBEXresItem 9 2" xfId="2208"/>
    <cellStyle name="SAPBEXresItemX" xfId="89"/>
    <cellStyle name="SAPBEXresItemX 2" xfId="505"/>
    <cellStyle name="SAPBEXresItemX 2 2" xfId="1142"/>
    <cellStyle name="SAPBEXresItemX 2 2 2" xfId="2209"/>
    <cellStyle name="SAPBEXresItemX 2 3" xfId="1143"/>
    <cellStyle name="SAPBEXresItemX 2 3 2" xfId="2210"/>
    <cellStyle name="SAPBEXresItemX 2 4" xfId="1144"/>
    <cellStyle name="SAPBEXresItemX 2 4 2" xfId="2211"/>
    <cellStyle name="SAPBEXresItemX 2 5" xfId="1145"/>
    <cellStyle name="SAPBEXresItemX 2 5 2" xfId="2212"/>
    <cellStyle name="SAPBEXresItemX 2 6" xfId="1146"/>
    <cellStyle name="SAPBEXresItemX 2 6 2" xfId="2213"/>
    <cellStyle name="SAPBEXresItemX 2 7" xfId="2214"/>
    <cellStyle name="SAPBEXresItemX 3" xfId="1147"/>
    <cellStyle name="SAPBEXresItemX 3 2" xfId="2215"/>
    <cellStyle name="SAPBEXresItemX 4" xfId="1148"/>
    <cellStyle name="SAPBEXresItemX 4 2" xfId="2216"/>
    <cellStyle name="SAPBEXresItemX 5" xfId="1149"/>
    <cellStyle name="SAPBEXresItemX 5 2" xfId="2217"/>
    <cellStyle name="SAPBEXresItemX 6" xfId="1150"/>
    <cellStyle name="SAPBEXresItemX 6 2" xfId="2218"/>
    <cellStyle name="SAPBEXresItemX 7" xfId="1151"/>
    <cellStyle name="SAPBEXresItemX 7 2" xfId="2219"/>
    <cellStyle name="SAPBEXresItemX 8" xfId="1141"/>
    <cellStyle name="SAPBEXresItemX 8 2" xfId="2220"/>
    <cellStyle name="SAPBEXresItemX 9" xfId="2221"/>
    <cellStyle name="SAPBEXstdData" xfId="90"/>
    <cellStyle name="SAPBEXstdData 2" xfId="396"/>
    <cellStyle name="SAPBEXstdData 2 2" xfId="506"/>
    <cellStyle name="SAPBEXstdData 2 2 2" xfId="1153"/>
    <cellStyle name="SAPBEXstdData 2 2 2 2" xfId="2222"/>
    <cellStyle name="SAPBEXstdData 2 2 3" xfId="1154"/>
    <cellStyle name="SAPBEXstdData 2 2 3 2" xfId="2223"/>
    <cellStyle name="SAPBEXstdData 2 2 4" xfId="1155"/>
    <cellStyle name="SAPBEXstdData 2 2 4 2" xfId="2224"/>
    <cellStyle name="SAPBEXstdData 2 2 5" xfId="1156"/>
    <cellStyle name="SAPBEXstdData 2 2 5 2" xfId="2225"/>
    <cellStyle name="SAPBEXstdData 2 2 6" xfId="1157"/>
    <cellStyle name="SAPBEXstdData 2 2 6 2" xfId="2226"/>
    <cellStyle name="SAPBEXstdData 2 2 7" xfId="2227"/>
    <cellStyle name="SAPBEXstdData 2 3" xfId="1158"/>
    <cellStyle name="SAPBEXstdData 2 3 2" xfId="2228"/>
    <cellStyle name="SAPBEXstdData 2 4" xfId="1159"/>
    <cellStyle name="SAPBEXstdData 2 4 2" xfId="2229"/>
    <cellStyle name="SAPBEXstdData 2 5" xfId="1160"/>
    <cellStyle name="SAPBEXstdData 2 5 2" xfId="2230"/>
    <cellStyle name="SAPBEXstdData 2 6" xfId="1161"/>
    <cellStyle name="SAPBEXstdData 2 6 2" xfId="2231"/>
    <cellStyle name="SAPBEXstdData 2 7" xfId="2232"/>
    <cellStyle name="SAPBEXstdData 3" xfId="507"/>
    <cellStyle name="SAPBEXstdData 3 2" xfId="1162"/>
    <cellStyle name="SAPBEXstdData 3 2 2" xfId="2233"/>
    <cellStyle name="SAPBEXstdData 3 3" xfId="1163"/>
    <cellStyle name="SAPBEXstdData 3 3 2" xfId="2234"/>
    <cellStyle name="SAPBEXstdData 3 4" xfId="1164"/>
    <cellStyle name="SAPBEXstdData 3 4 2" xfId="2235"/>
    <cellStyle name="SAPBEXstdData 3 5" xfId="1165"/>
    <cellStyle name="SAPBEXstdData 3 5 2" xfId="2236"/>
    <cellStyle name="SAPBEXstdData 3 6" xfId="1166"/>
    <cellStyle name="SAPBEXstdData 3 6 2" xfId="2237"/>
    <cellStyle name="SAPBEXstdData 3 7" xfId="2238"/>
    <cellStyle name="SAPBEXstdData 4" xfId="1167"/>
    <cellStyle name="SAPBEXstdData 4 2" xfId="2239"/>
    <cellStyle name="SAPBEXstdData 5" xfId="1168"/>
    <cellStyle name="SAPBEXstdData 5 2" xfId="2240"/>
    <cellStyle name="SAPBEXstdData 6" xfId="1169"/>
    <cellStyle name="SAPBEXstdData 6 2" xfId="2241"/>
    <cellStyle name="SAPBEXstdData 7" xfId="1170"/>
    <cellStyle name="SAPBEXstdData 7 2" xfId="2242"/>
    <cellStyle name="SAPBEXstdData 8" xfId="1152"/>
    <cellStyle name="SAPBEXstdData 8 2" xfId="2243"/>
    <cellStyle name="SAPBEXstdData 9" xfId="2244"/>
    <cellStyle name="SAPBEXstdData_20120921_SF-grote-ronde-Liesbethdump2" xfId="397"/>
    <cellStyle name="SAPBEXstdDataEmph" xfId="91"/>
    <cellStyle name="SAPBEXstdDataEmph 2" xfId="398"/>
    <cellStyle name="SAPBEXstdDataEmph 2 2" xfId="508"/>
    <cellStyle name="SAPBEXstdDataEmph 2 2 2" xfId="1172"/>
    <cellStyle name="SAPBEXstdDataEmph 2 2 2 2" xfId="2245"/>
    <cellStyle name="SAPBEXstdDataEmph 2 2 3" xfId="1173"/>
    <cellStyle name="SAPBEXstdDataEmph 2 2 3 2" xfId="2246"/>
    <cellStyle name="SAPBEXstdDataEmph 2 2 4" xfId="1174"/>
    <cellStyle name="SAPBEXstdDataEmph 2 2 4 2" xfId="2247"/>
    <cellStyle name="SAPBEXstdDataEmph 2 2 5" xfId="1175"/>
    <cellStyle name="SAPBEXstdDataEmph 2 2 5 2" xfId="2248"/>
    <cellStyle name="SAPBEXstdDataEmph 2 2 6" xfId="1176"/>
    <cellStyle name="SAPBEXstdDataEmph 2 2 6 2" xfId="2249"/>
    <cellStyle name="SAPBEXstdDataEmph 2 2 7" xfId="2250"/>
    <cellStyle name="SAPBEXstdDataEmph 2 3" xfId="1177"/>
    <cellStyle name="SAPBEXstdDataEmph 2 3 2" xfId="2251"/>
    <cellStyle name="SAPBEXstdDataEmph 2 4" xfId="1178"/>
    <cellStyle name="SAPBEXstdDataEmph 2 4 2" xfId="2252"/>
    <cellStyle name="SAPBEXstdDataEmph 2 5" xfId="1179"/>
    <cellStyle name="SAPBEXstdDataEmph 2 5 2" xfId="2253"/>
    <cellStyle name="SAPBEXstdDataEmph 2 6" xfId="1180"/>
    <cellStyle name="SAPBEXstdDataEmph 2 6 2" xfId="2254"/>
    <cellStyle name="SAPBEXstdDataEmph 2 7" xfId="2255"/>
    <cellStyle name="SAPBEXstdDataEmph 3" xfId="509"/>
    <cellStyle name="SAPBEXstdDataEmph 3 2" xfId="1181"/>
    <cellStyle name="SAPBEXstdDataEmph 3 2 2" xfId="2256"/>
    <cellStyle name="SAPBEXstdDataEmph 3 3" xfId="1182"/>
    <cellStyle name="SAPBEXstdDataEmph 3 3 2" xfId="2257"/>
    <cellStyle name="SAPBEXstdDataEmph 3 4" xfId="1183"/>
    <cellStyle name="SAPBEXstdDataEmph 3 4 2" xfId="2258"/>
    <cellStyle name="SAPBEXstdDataEmph 3 5" xfId="1184"/>
    <cellStyle name="SAPBEXstdDataEmph 3 5 2" xfId="2259"/>
    <cellStyle name="SAPBEXstdDataEmph 3 6" xfId="1185"/>
    <cellStyle name="SAPBEXstdDataEmph 3 6 2" xfId="2260"/>
    <cellStyle name="SAPBEXstdDataEmph 3 7" xfId="2261"/>
    <cellStyle name="SAPBEXstdDataEmph 4" xfId="1186"/>
    <cellStyle name="SAPBEXstdDataEmph 4 2" xfId="2262"/>
    <cellStyle name="SAPBEXstdDataEmph 5" xfId="1187"/>
    <cellStyle name="SAPBEXstdDataEmph 5 2" xfId="2263"/>
    <cellStyle name="SAPBEXstdDataEmph 6" xfId="1188"/>
    <cellStyle name="SAPBEXstdDataEmph 6 2" xfId="2264"/>
    <cellStyle name="SAPBEXstdDataEmph 7" xfId="1189"/>
    <cellStyle name="SAPBEXstdDataEmph 7 2" xfId="2265"/>
    <cellStyle name="SAPBEXstdDataEmph 8" xfId="1171"/>
    <cellStyle name="SAPBEXstdDataEmph 8 2" xfId="2266"/>
    <cellStyle name="SAPBEXstdDataEmph 9" xfId="2267"/>
    <cellStyle name="SAPBEXstdDataEmph 9 2" xfId="2268"/>
    <cellStyle name="SAPBEXstdDataEmph_20120921_SF-grote-ronde-Liesbethdump2" xfId="399"/>
    <cellStyle name="SAPBEXstdItem" xfId="92"/>
    <cellStyle name="SAPBEXstdItem 2" xfId="175"/>
    <cellStyle name="SAPBEXstdItem 2 2" xfId="510"/>
    <cellStyle name="SAPBEXstdItem 2 2 2" xfId="1191"/>
    <cellStyle name="SAPBEXstdItem 2 2 2 2" xfId="2269"/>
    <cellStyle name="SAPBEXstdItem 2 2 3" xfId="1192"/>
    <cellStyle name="SAPBEXstdItem 2 2 3 2" xfId="2270"/>
    <cellStyle name="SAPBEXstdItem 2 2 4" xfId="1193"/>
    <cellStyle name="SAPBEXstdItem 2 2 4 2" xfId="2271"/>
    <cellStyle name="SAPBEXstdItem 2 2 5" xfId="1194"/>
    <cellStyle name="SAPBEXstdItem 2 2 5 2" xfId="2272"/>
    <cellStyle name="SAPBEXstdItem 2 2 6" xfId="1195"/>
    <cellStyle name="SAPBEXstdItem 2 2 6 2" xfId="2273"/>
    <cellStyle name="SAPBEXstdItem 2 2 7" xfId="2274"/>
    <cellStyle name="SAPBEXstdItem 2 3" xfId="511"/>
    <cellStyle name="SAPBEXstdItem 2 3 2" xfId="2275"/>
    <cellStyle name="SAPBEXstdItem 2 4" xfId="1196"/>
    <cellStyle name="SAPBEXstdItem 2 4 2" xfId="2276"/>
    <cellStyle name="SAPBEXstdItem 2 5" xfId="1197"/>
    <cellStyle name="SAPBEXstdItem 2 5 2" xfId="2277"/>
    <cellStyle name="SAPBEXstdItem 2 6" xfId="1198"/>
    <cellStyle name="SAPBEXstdItem 2 6 2" xfId="2278"/>
    <cellStyle name="SAPBEXstdItem 2 7" xfId="2279"/>
    <cellStyle name="SAPBEXstdItem 2 7 2" xfId="2280"/>
    <cellStyle name="SAPBEXstdItem 3" xfId="512"/>
    <cellStyle name="SAPBEXstdItem 3 2" xfId="1199"/>
    <cellStyle name="SAPBEXstdItem 3 2 2" xfId="2281"/>
    <cellStyle name="SAPBEXstdItem 3 3" xfId="1200"/>
    <cellStyle name="SAPBEXstdItem 3 3 2" xfId="2282"/>
    <cellStyle name="SAPBEXstdItem 3 4" xfId="1201"/>
    <cellStyle name="SAPBEXstdItem 3 4 2" xfId="2283"/>
    <cellStyle name="SAPBEXstdItem 3 5" xfId="1202"/>
    <cellStyle name="SAPBEXstdItem 3 5 2" xfId="2284"/>
    <cellStyle name="SAPBEXstdItem 3 6" xfId="1203"/>
    <cellStyle name="SAPBEXstdItem 3 6 2" xfId="2285"/>
    <cellStyle name="SAPBEXstdItem 3 7" xfId="2286"/>
    <cellStyle name="SAPBEXstdItem 4" xfId="513"/>
    <cellStyle name="SAPBEXstdItem 4 2" xfId="2287"/>
    <cellStyle name="SAPBEXstdItem 5" xfId="1204"/>
    <cellStyle name="SAPBEXstdItem 5 2" xfId="2288"/>
    <cellStyle name="SAPBEXstdItem 6" xfId="1205"/>
    <cellStyle name="SAPBEXstdItem 6 2" xfId="2289"/>
    <cellStyle name="SAPBEXstdItem 7" xfId="1206"/>
    <cellStyle name="SAPBEXstdItem 7 2" xfId="2290"/>
    <cellStyle name="SAPBEXstdItem 8" xfId="1190"/>
    <cellStyle name="SAPBEXstdItem 8 2" xfId="2291"/>
    <cellStyle name="SAPBEXstdItem 9" xfId="2292"/>
    <cellStyle name="SAPBEXstdItem 9 2" xfId="2293"/>
    <cellStyle name="SAPBEXstdItem_20120921_SF-grote-ronde-Liesbethdump2" xfId="400"/>
    <cellStyle name="SAPBEXstdItemX" xfId="93"/>
    <cellStyle name="SAPBEXstdItemX 2" xfId="514"/>
    <cellStyle name="SAPBEXstdItemX 2 2" xfId="1208"/>
    <cellStyle name="SAPBEXstdItemX 2 2 2" xfId="2294"/>
    <cellStyle name="SAPBEXstdItemX 2 3" xfId="1209"/>
    <cellStyle name="SAPBEXstdItemX 2 3 2" xfId="2295"/>
    <cellStyle name="SAPBEXstdItemX 2 4" xfId="1210"/>
    <cellStyle name="SAPBEXstdItemX 2 4 2" xfId="2296"/>
    <cellStyle name="SAPBEXstdItemX 2 5" xfId="1211"/>
    <cellStyle name="SAPBEXstdItemX 2 5 2" xfId="2297"/>
    <cellStyle name="SAPBEXstdItemX 2 6" xfId="1212"/>
    <cellStyle name="SAPBEXstdItemX 2 6 2" xfId="2298"/>
    <cellStyle name="SAPBEXstdItemX 2 7" xfId="2299"/>
    <cellStyle name="SAPBEXstdItemX 3" xfId="1213"/>
    <cellStyle name="SAPBEXstdItemX 3 2" xfId="2300"/>
    <cellStyle name="SAPBEXstdItemX 4" xfId="1214"/>
    <cellStyle name="SAPBEXstdItemX 4 2" xfId="2301"/>
    <cellStyle name="SAPBEXstdItemX 5" xfId="1215"/>
    <cellStyle name="SAPBEXstdItemX 5 2" xfId="2302"/>
    <cellStyle name="SAPBEXstdItemX 6" xfId="1216"/>
    <cellStyle name="SAPBEXstdItemX 6 2" xfId="2303"/>
    <cellStyle name="SAPBEXstdItemX 7" xfId="1217"/>
    <cellStyle name="SAPBEXstdItemX 7 2" xfId="2304"/>
    <cellStyle name="SAPBEXstdItemX 8" xfId="1207"/>
    <cellStyle name="SAPBEXstdItemX 8 2" xfId="2305"/>
    <cellStyle name="SAPBEXstdItemX 9" xfId="2306"/>
    <cellStyle name="SAPBEXstdItemX 9 2" xfId="2307"/>
    <cellStyle name="SAPBEXtitle" xfId="94"/>
    <cellStyle name="SAPBEXtitle 2" xfId="515"/>
    <cellStyle name="SAPBEXtitle 2 2" xfId="1219"/>
    <cellStyle name="SAPBEXtitle 2 2 2" xfId="2308"/>
    <cellStyle name="SAPBEXtitle 2 3" xfId="1220"/>
    <cellStyle name="SAPBEXtitle 2 3 2" xfId="2309"/>
    <cellStyle name="SAPBEXtitle 2 4" xfId="1221"/>
    <cellStyle name="SAPBEXtitle 2 4 2" xfId="2310"/>
    <cellStyle name="SAPBEXtitle 2 5" xfId="1222"/>
    <cellStyle name="SAPBEXtitle 2 5 2" xfId="2311"/>
    <cellStyle name="SAPBEXtitle 2 6" xfId="1223"/>
    <cellStyle name="SAPBEXtitle 2 6 2" xfId="2312"/>
    <cellStyle name="SAPBEXtitle 2 7" xfId="2313"/>
    <cellStyle name="SAPBEXtitle 3" xfId="1224"/>
    <cellStyle name="SAPBEXtitle 3 2" xfId="2314"/>
    <cellStyle name="SAPBEXtitle 4" xfId="1225"/>
    <cellStyle name="SAPBEXtitle 4 2" xfId="2315"/>
    <cellStyle name="SAPBEXtitle 5" xfId="1226"/>
    <cellStyle name="SAPBEXtitle 5 2" xfId="2316"/>
    <cellStyle name="SAPBEXtitle 6" xfId="1227"/>
    <cellStyle name="SAPBEXtitle 6 2" xfId="2317"/>
    <cellStyle name="SAPBEXtitle 7" xfId="1228"/>
    <cellStyle name="SAPBEXtitle 7 2" xfId="2318"/>
    <cellStyle name="SAPBEXtitle 8" xfId="1218"/>
    <cellStyle name="SAPBEXtitle 9" xfId="2319"/>
    <cellStyle name="SAPBEXtitle 9 2" xfId="2320"/>
    <cellStyle name="SAPBEXunassignedItem" xfId="95"/>
    <cellStyle name="SAPBEXunassignedItem 2" xfId="401"/>
    <cellStyle name="SAPBEXunassignedItem 2 2" xfId="516"/>
    <cellStyle name="SAPBEXunassignedItem 2 2 2" xfId="1229"/>
    <cellStyle name="SAPBEXunassignedItem 2 2 2 2" xfId="2321"/>
    <cellStyle name="SAPBEXunassignedItem 2 2 3" xfId="1230"/>
    <cellStyle name="SAPBEXunassignedItem 2 2 3 2" xfId="2322"/>
    <cellStyle name="SAPBEXunassignedItem 2 2 4" xfId="1231"/>
    <cellStyle name="SAPBEXunassignedItem 2 2 4 2" xfId="2323"/>
    <cellStyle name="SAPBEXunassignedItem 2 2 5" xfId="1232"/>
    <cellStyle name="SAPBEXunassignedItem 2 2 5 2" xfId="2324"/>
    <cellStyle name="SAPBEXunassignedItem 2 2 6" xfId="1233"/>
    <cellStyle name="SAPBEXunassignedItem 2 2 6 2" xfId="2325"/>
    <cellStyle name="SAPBEXunassignedItem 2 2 7" xfId="2326"/>
    <cellStyle name="SAPBEXunassignedItem 2 3" xfId="1234"/>
    <cellStyle name="SAPBEXunassignedItem 2 3 2" xfId="2327"/>
    <cellStyle name="SAPBEXunassignedItem 2 4" xfId="2328"/>
    <cellStyle name="SAPBEXunassignedItem 3" xfId="517"/>
    <cellStyle name="SAPBEXunassignedItem 3 2" xfId="1235"/>
    <cellStyle name="SAPBEXunassignedItem 3 2 2" xfId="2329"/>
    <cellStyle name="SAPBEXunassignedItem 3 3" xfId="1236"/>
    <cellStyle name="SAPBEXunassignedItem 3 3 2" xfId="2330"/>
    <cellStyle name="SAPBEXunassignedItem 3 4" xfId="1237"/>
    <cellStyle name="SAPBEXunassignedItem 3 4 2" xfId="2331"/>
    <cellStyle name="SAPBEXunassignedItem 3 5" xfId="1238"/>
    <cellStyle name="SAPBEXunassignedItem 3 5 2" xfId="2332"/>
    <cellStyle name="SAPBEXunassignedItem 3 6" xfId="1239"/>
    <cellStyle name="SAPBEXunassignedItem 3 6 2" xfId="2333"/>
    <cellStyle name="SAPBEXunassignedItem 3 7" xfId="2334"/>
    <cellStyle name="SAPBEXunassignedItem 4" xfId="1240"/>
    <cellStyle name="SAPBEXunassignedItem 4 2" xfId="2335"/>
    <cellStyle name="SAPBEXunassignedItem 5" xfId="2336"/>
    <cellStyle name="SAPBEXunassignedItem_20120921_SF-grote-ronde-Liesbethdump2" xfId="402"/>
    <cellStyle name="SAPBEXundefined" xfId="96"/>
    <cellStyle name="SAPBEXundefined 2" xfId="518"/>
    <cellStyle name="SAPBEXundefined 2 2" xfId="1242"/>
    <cellStyle name="SAPBEXundefined 2 2 2" xfId="2337"/>
    <cellStyle name="SAPBEXundefined 2 3" xfId="1243"/>
    <cellStyle name="SAPBEXundefined 2 3 2" xfId="2338"/>
    <cellStyle name="SAPBEXundefined 2 4" xfId="1244"/>
    <cellStyle name="SAPBEXundefined 2 4 2" xfId="2339"/>
    <cellStyle name="SAPBEXundefined 2 5" xfId="1245"/>
    <cellStyle name="SAPBEXundefined 2 5 2" xfId="2340"/>
    <cellStyle name="SAPBEXundefined 2 6" xfId="1246"/>
    <cellStyle name="SAPBEXundefined 2 6 2" xfId="2341"/>
    <cellStyle name="SAPBEXundefined 2 7" xfId="2342"/>
    <cellStyle name="SAPBEXundefined 3" xfId="1247"/>
    <cellStyle name="SAPBEXundefined 3 2" xfId="2343"/>
    <cellStyle name="SAPBEXundefined 4" xfId="1248"/>
    <cellStyle name="SAPBEXundefined 4 2" xfId="2344"/>
    <cellStyle name="SAPBEXundefined 5" xfId="1249"/>
    <cellStyle name="SAPBEXundefined 5 2" xfId="2345"/>
    <cellStyle name="SAPBEXundefined 6" xfId="1250"/>
    <cellStyle name="SAPBEXundefined 6 2" xfId="2346"/>
    <cellStyle name="SAPBEXundefined 7" xfId="1251"/>
    <cellStyle name="SAPBEXundefined 7 2" xfId="2347"/>
    <cellStyle name="SAPBEXundefined 8" xfId="1241"/>
    <cellStyle name="SAPBEXundefined 8 2" xfId="2348"/>
    <cellStyle name="SAPBEXundefined 9" xfId="2349"/>
    <cellStyle name="Schlecht" xfId="160"/>
    <cellStyle name="Sheet Title" xfId="97"/>
    <cellStyle name="Standaard" xfId="0" builtinId="0"/>
    <cellStyle name="Standaard 10" xfId="519"/>
    <cellStyle name="Standaard 11" xfId="520"/>
    <cellStyle name="Standaard 12" xfId="521"/>
    <cellStyle name="Standaard 13" xfId="522"/>
    <cellStyle name="Standaard 14" xfId="523"/>
    <cellStyle name="Standaard 15" xfId="524"/>
    <cellStyle name="Standaard 16" xfId="525"/>
    <cellStyle name="Standaard 17" xfId="526"/>
    <cellStyle name="Standaard 18" xfId="527"/>
    <cellStyle name="Standaard 19" xfId="528"/>
    <cellStyle name="Standaard 2" xfId="106"/>
    <cellStyle name="Standaard 2 2" xfId="172"/>
    <cellStyle name="Standaard 2 2 2" xfId="416"/>
    <cellStyle name="Standaard 2 2 3" xfId="1356"/>
    <cellStyle name="Standaard 2 2 4" xfId="2350"/>
    <cellStyle name="Standaard 2 3" xfId="411"/>
    <cellStyle name="Standaard 2 3 2" xfId="1357"/>
    <cellStyle name="Standaard 2 4" xfId="2351"/>
    <cellStyle name="Standaard 2 4 2" xfId="2352"/>
    <cellStyle name="Standaard 20" xfId="529"/>
    <cellStyle name="Standaard 21" xfId="530"/>
    <cellStyle name="Standaard 22" xfId="531"/>
    <cellStyle name="Standaard 23" xfId="532"/>
    <cellStyle name="Standaard 24" xfId="533"/>
    <cellStyle name="Standaard 25" xfId="534"/>
    <cellStyle name="Standaard 26" xfId="1283"/>
    <cellStyle name="Standaard 26 2" xfId="1358"/>
    <cellStyle name="Standaard 26 2 2" xfId="2510"/>
    <cellStyle name="Standaard 26 3" xfId="2413"/>
    <cellStyle name="Standaard 26 3 2" xfId="2542"/>
    <cellStyle name="Standaard 26 4" xfId="2482"/>
    <cellStyle name="Standaard 26 4 2" xfId="2555"/>
    <cellStyle name="Standaard 26 5" xfId="2493"/>
    <cellStyle name="Standaard 27" xfId="1359"/>
    <cellStyle name="Standaard 27 2" xfId="2353"/>
    <cellStyle name="Standaard 27 3" xfId="2414"/>
    <cellStyle name="Standaard 27 3 2" xfId="2543"/>
    <cellStyle name="Standaard 27 4" xfId="2483"/>
    <cellStyle name="Standaard 27 4 2" xfId="2556"/>
    <cellStyle name="Standaard 28" xfId="1296"/>
    <cellStyle name="Standaard 28 2" xfId="2354"/>
    <cellStyle name="Standaard 28 3" xfId="2408"/>
    <cellStyle name="Standaard 28 3 2" xfId="2537"/>
    <cellStyle name="Standaard 28 4" xfId="2415"/>
    <cellStyle name="Standaard 28 4 2" xfId="2544"/>
    <cellStyle name="Standaard 28 5" xfId="2477"/>
    <cellStyle name="Standaard 28 5 2" xfId="2550"/>
    <cellStyle name="Standaard 29" xfId="1373"/>
    <cellStyle name="Standaard 29 2" xfId="2516"/>
    <cellStyle name="Standaard 3" xfId="174"/>
    <cellStyle name="Standaard 3 10" xfId="2489"/>
    <cellStyle name="Standaard 3 2" xfId="535"/>
    <cellStyle name="Standaard 3 3" xfId="1281"/>
    <cellStyle name="Standaard 3 3 2" xfId="1361"/>
    <cellStyle name="Standaard 3 3 2 2" xfId="2511"/>
    <cellStyle name="Standaard 3 3 3" xfId="2411"/>
    <cellStyle name="Standaard 3 3 3 2" xfId="2540"/>
    <cellStyle name="Standaard 3 3 4" xfId="2480"/>
    <cellStyle name="Standaard 3 3 4 2" xfId="2553"/>
    <cellStyle name="Standaard 3 3 5" xfId="2491"/>
    <cellStyle name="Standaard 3 4" xfId="1282"/>
    <cellStyle name="Standaard 3 4 2" xfId="1362"/>
    <cellStyle name="Standaard 3 4 2 2" xfId="2512"/>
    <cellStyle name="Standaard 3 4 3" xfId="2412"/>
    <cellStyle name="Standaard 3 4 3 2" xfId="2541"/>
    <cellStyle name="Standaard 3 4 4" xfId="2481"/>
    <cellStyle name="Standaard 3 4 4 2" xfId="2554"/>
    <cellStyle name="Standaard 3 4 5" xfId="2492"/>
    <cellStyle name="Standaard 3 5" xfId="547"/>
    <cellStyle name="Standaard 3 5 2" xfId="1363"/>
    <cellStyle name="Standaard 3 5 2 2" xfId="2513"/>
    <cellStyle name="Standaard 3 5 3" xfId="2410"/>
    <cellStyle name="Standaard 3 5 3 2" xfId="2539"/>
    <cellStyle name="Standaard 3 5 4" xfId="2479"/>
    <cellStyle name="Standaard 3 5 4 2" xfId="2552"/>
    <cellStyle name="Standaard 3 5 5" xfId="2490"/>
    <cellStyle name="Standaard 3 6" xfId="1364"/>
    <cellStyle name="Standaard 3 6 2" xfId="2355"/>
    <cellStyle name="Standaard 3 6 3" xfId="2514"/>
    <cellStyle name="Standaard 3 7" xfId="1360"/>
    <cellStyle name="Standaard 3 8" xfId="2409"/>
    <cellStyle name="Standaard 3 8 2" xfId="2538"/>
    <cellStyle name="Standaard 3 9" xfId="2478"/>
    <cellStyle name="Standaard 3 9 2" xfId="2551"/>
    <cellStyle name="Standaard 30" xfId="1374"/>
    <cellStyle name="Standaard 30 2" xfId="2517"/>
    <cellStyle name="Standaard 31" xfId="1375"/>
    <cellStyle name="Standaard 31 2" xfId="2518"/>
    <cellStyle name="Standaard 4" xfId="536"/>
    <cellStyle name="Standaard 4 2" xfId="1252"/>
    <cellStyle name="Standaard 4 3" xfId="1365"/>
    <cellStyle name="Standaard 4 3 2" xfId="2356"/>
    <cellStyle name="Standaard 4 3 3" xfId="2469"/>
    <cellStyle name="Standaard 4 3 3 2" xfId="2547"/>
    <cellStyle name="Standaard 4 3 4" xfId="2486"/>
    <cellStyle name="Standaard 4 3 4 2" xfId="2559"/>
    <cellStyle name="Standaard 5" xfId="537"/>
    <cellStyle name="Standaard 5 2" xfId="1366"/>
    <cellStyle name="Standaard 5 2 2" xfId="2470"/>
    <cellStyle name="Standaard 5 2 2 2" xfId="2548"/>
    <cellStyle name="Standaard 5 2 3" xfId="2487"/>
    <cellStyle name="Standaard 5 2 3 2" xfId="2560"/>
    <cellStyle name="Standaard 5 2 4" xfId="2515"/>
    <cellStyle name="Standaard 6" xfId="538"/>
    <cellStyle name="Standaard 6 2" xfId="2357"/>
    <cellStyle name="Standaard 7" xfId="539"/>
    <cellStyle name="Standaard 7 2" xfId="2358"/>
    <cellStyle name="Standaard 7 2 2" xfId="2471"/>
    <cellStyle name="Standaard 7 2 2 2" xfId="2549"/>
    <cellStyle name="Standaard 7 2 3" xfId="2488"/>
    <cellStyle name="Standaard 7 2 3 2" xfId="2561"/>
    <cellStyle name="Standaard 7 2 4" xfId="2536"/>
    <cellStyle name="Standaard 8" xfId="540"/>
    <cellStyle name="Standaard 9" xfId="541"/>
    <cellStyle name="Standaard_102708_3 SSNT NG-PRD(i)-07-03" xfId="545"/>
    <cellStyle name="Standaard_Exhibit D Entries, TSC 2005-2 Final Version 3" xfId="98"/>
    <cellStyle name="Standaard_Exhibit D Entries, TSC 2005-2 Final Version 3 2" xfId="178"/>
    <cellStyle name="Standaard_GTS-TAR concept voorstel 2011 29 april 2010" xfId="546"/>
    <cellStyle name="Standaard_Handboek TSO (260202)" xfId="99"/>
    <cellStyle name="Standaard_Netwerkpunten naar Nma verstuurd15 mei" xfId="100"/>
    <cellStyle name="Standaard_NG-TAR(i)-10-08 Concept" xfId="101"/>
    <cellStyle name="Standaard_Tarieven 2004" xfId="102"/>
    <cellStyle name="Standaard_Tarievenmand 2002" xfId="103"/>
    <cellStyle name="Standaard_Tarievenmand 2002 2" xfId="173"/>
    <cellStyle name="Standaard_tennet p4" xfId="104"/>
    <cellStyle name="Standaard_tennet p4 2" xfId="1376"/>
    <cellStyle name="Titel" xfId="1368" builtinId="15" customBuiltin="1"/>
    <cellStyle name="Titel 2" xfId="403"/>
    <cellStyle name="Titel 2 2" xfId="2359"/>
    <cellStyle name="Titel 3" xfId="1367"/>
    <cellStyle name="Titel 3 2" xfId="2360"/>
    <cellStyle name="Titel 3 3" xfId="2472"/>
    <cellStyle name="Titel 4" xfId="2361"/>
    <cellStyle name="Titel 5" xfId="2362"/>
    <cellStyle name="Title 2" xfId="161"/>
    <cellStyle name="Title 3" xfId="2473"/>
    <cellStyle name="Totaal" xfId="1370" builtinId="25" customBuiltin="1"/>
    <cellStyle name="Totaal 10" xfId="2363"/>
    <cellStyle name="Totaal 11" xfId="2364"/>
    <cellStyle name="Totaal 2" xfId="404"/>
    <cellStyle name="Totaal 2 2" xfId="542"/>
    <cellStyle name="Totaal 2 2 2" xfId="2365"/>
    <cellStyle name="Totaal 2 3" xfId="1253"/>
    <cellStyle name="Totaal 2 3 2" xfId="2366"/>
    <cellStyle name="Totaal 2 4" xfId="1254"/>
    <cellStyle name="Totaal 2 4 2" xfId="2367"/>
    <cellStyle name="Totaal 2 5" xfId="1255"/>
    <cellStyle name="Totaal 2 5 2" xfId="2368"/>
    <cellStyle name="Totaal 2 6" xfId="1256"/>
    <cellStyle name="Totaal 2 6 2" xfId="2369"/>
    <cellStyle name="Totaal 2 7" xfId="2370"/>
    <cellStyle name="Totaal 2 7 2" xfId="2371"/>
    <cellStyle name="Totaal 3" xfId="1257"/>
    <cellStyle name="Totaal 3 2" xfId="2372"/>
    <cellStyle name="Totaal 4" xfId="1258"/>
    <cellStyle name="Totaal 4 2" xfId="2373"/>
    <cellStyle name="Totaal 5" xfId="1259"/>
    <cellStyle name="Totaal 5 2" xfId="2374"/>
    <cellStyle name="Totaal 6" xfId="1260"/>
    <cellStyle name="Totaal 6 2" xfId="2375"/>
    <cellStyle name="Totaal 7" xfId="1261"/>
    <cellStyle name="Totaal 7 2" xfId="2376"/>
    <cellStyle name="Totaal 8" xfId="1262"/>
    <cellStyle name="Totaal 8 2" xfId="2377"/>
    <cellStyle name="Totaal 9" xfId="1369"/>
    <cellStyle name="Totaal 9 2" xfId="2378"/>
    <cellStyle name="Totaal 9 3" xfId="2474"/>
    <cellStyle name="Total 2" xfId="162"/>
    <cellStyle name="Total 2 2" xfId="543"/>
    <cellStyle name="Total 2 2 2" xfId="2379"/>
    <cellStyle name="Total 2 3" xfId="1263"/>
    <cellStyle name="Total 2 3 2" xfId="2380"/>
    <cellStyle name="Total 2 4" xfId="1264"/>
    <cellStyle name="Total 2 4 2" xfId="2381"/>
    <cellStyle name="Total 2 5" xfId="1265"/>
    <cellStyle name="Total 2 5 2" xfId="2382"/>
    <cellStyle name="Total 2 6" xfId="1266"/>
    <cellStyle name="Total 2 6 2" xfId="2383"/>
    <cellStyle name="Total 2 7" xfId="2384"/>
    <cellStyle name="Total 3" xfId="1267"/>
    <cellStyle name="Total 3 2" xfId="2385"/>
    <cellStyle name="Total 4" xfId="1268"/>
    <cellStyle name="Total 4 2" xfId="2386"/>
    <cellStyle name="Total 5" xfId="1269"/>
    <cellStyle name="Total 5 2" xfId="2387"/>
    <cellStyle name="Total 6" xfId="1270"/>
    <cellStyle name="Total 6 2" xfId="2388"/>
    <cellStyle name="Total 7" xfId="1271"/>
    <cellStyle name="Total 7 2" xfId="2389"/>
    <cellStyle name="Total 8" xfId="2390"/>
    <cellStyle name="Überschrift" xfId="163"/>
    <cellStyle name="Überschrift 1" xfId="164"/>
    <cellStyle name="Überschrift 2" xfId="165"/>
    <cellStyle name="Überschrift 3" xfId="166"/>
    <cellStyle name="Überschrift 4" xfId="167"/>
    <cellStyle name="Uitvoer 2" xfId="405"/>
    <cellStyle name="Uitvoer 2 2" xfId="544"/>
    <cellStyle name="Uitvoer 2 2 2" xfId="2391"/>
    <cellStyle name="Uitvoer 2 3" xfId="1272"/>
    <cellStyle name="Uitvoer 2 3 2" xfId="2392"/>
    <cellStyle name="Uitvoer 2 4" xfId="1273"/>
    <cellStyle name="Uitvoer 2 4 2" xfId="2393"/>
    <cellStyle name="Uitvoer 2 5" xfId="1274"/>
    <cellStyle name="Uitvoer 2 5 2" xfId="2394"/>
    <cellStyle name="Uitvoer 2 6" xfId="1275"/>
    <cellStyle name="Uitvoer 2 6 2" xfId="2395"/>
    <cellStyle name="Uitvoer 2 7" xfId="2396"/>
    <cellStyle name="Uitvoer 3" xfId="1276"/>
    <cellStyle name="Uitvoer 3 2" xfId="2397"/>
    <cellStyle name="Uitvoer 4" xfId="1277"/>
    <cellStyle name="Uitvoer 4 2" xfId="2398"/>
    <cellStyle name="Uitvoer 5" xfId="1278"/>
    <cellStyle name="Uitvoer 5 2" xfId="2399"/>
    <cellStyle name="Uitvoer 6" xfId="1279"/>
    <cellStyle name="Uitvoer 6 2" xfId="2400"/>
    <cellStyle name="Uitvoer 7" xfId="1280"/>
    <cellStyle name="Uitvoer 7 2" xfId="2401"/>
    <cellStyle name="Uitvoer 8" xfId="2402"/>
    <cellStyle name="Valuta_DELT TM NE 2003 (3)" xfId="105"/>
    <cellStyle name="Verklarende tekst 2" xfId="406"/>
    <cellStyle name="Verklarende tekst 3" xfId="2403"/>
    <cellStyle name="Verknüpfte Zelle" xfId="168"/>
    <cellStyle name="Waarschuwingstekst" xfId="1372" builtinId="11" customBuiltin="1"/>
    <cellStyle name="Waarschuwingstekst 2" xfId="407"/>
    <cellStyle name="Waarschuwingstekst 2 2" xfId="2404"/>
    <cellStyle name="Waarschuwingstekst 3" xfId="1371"/>
    <cellStyle name="Waarschuwingstekst 3 2" xfId="2405"/>
    <cellStyle name="Waarschuwingstekst 3 3" xfId="2475"/>
    <cellStyle name="Waarschuwingstekst 4" xfId="2406"/>
    <cellStyle name="Waarschuwingstekst 5" xfId="2407"/>
    <cellStyle name="Warnender Text" xfId="169"/>
    <cellStyle name="Warning Text 2" xfId="170"/>
    <cellStyle name="Warning Text 3" xfId="2476"/>
    <cellStyle name="Zelle überprüfen" xfId="171"/>
  </cellStyles>
  <dxfs count="13">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9" defaultPivotStyle="PivotStyleLight16"/>
  <colors>
    <mruColors>
      <color rgb="FF000080"/>
      <color rgb="FFCCFFCC"/>
      <color rgb="FFCCFFFF"/>
      <color rgb="FFFFCC99"/>
      <color rgb="FFFFFF99"/>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R\Afgeschermd\Cluster%20Control\00%20aNieuwe%20structuur\420%20-%20Overige%20verzoeken%20Energiekamer%20(DE)\50%20-%20Werkbestanden\indirecte%20OPEX%20en%20meerkosten%20WON\model%20segmentering%202008%20def%20SB.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Te\ALGEMEEN\Tarieven%202003\Elektriciteit%20nettarieven\Output%20definitief\021015%20TM%20NE%202003%20Definitief%20UIT%20(3)\DELT%20TM%20NE%202003%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belastingdienst.nl/wps/wcm/connect/bldcontentnl/standaard_functies/prive/contact/rechten_en_plichten_bij_de_belastingdienst/heffingsrente/overzicht_percentages_heffingsrente/"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7:R22"/>
  <sheetViews>
    <sheetView showGridLines="0" tabSelected="1" zoomScale="70" zoomScaleNormal="70" zoomScaleSheetLayoutView="70" workbookViewId="0"/>
  </sheetViews>
  <sheetFormatPr defaultRowHeight="12.75"/>
  <cols>
    <col min="1" max="1" width="3.5703125" style="1" customWidth="1"/>
    <col min="2" max="2" width="5.42578125" style="1" customWidth="1"/>
    <col min="3" max="6" width="8" style="1" customWidth="1"/>
    <col min="7" max="7" width="12.5703125" style="1" customWidth="1"/>
    <col min="8" max="14" width="10.85546875" style="1" customWidth="1"/>
    <col min="15" max="15" width="70" style="1" customWidth="1"/>
    <col min="16" max="16" width="25.85546875" style="1" customWidth="1"/>
    <col min="17" max="18" width="9.140625" style="1" hidden="1" customWidth="1"/>
    <col min="19" max="16384" width="9.140625" style="1"/>
  </cols>
  <sheetData>
    <row r="7" spans="1:18" ht="60">
      <c r="A7" s="1403" t="s">
        <v>139</v>
      </c>
      <c r="B7" s="1404"/>
      <c r="C7" s="1404"/>
      <c r="D7" s="1404"/>
      <c r="E7" s="1404"/>
      <c r="F7" s="1404"/>
      <c r="G7" s="1404"/>
      <c r="H7" s="1404"/>
      <c r="I7" s="1404"/>
      <c r="J7" s="1404"/>
      <c r="K7" s="1404"/>
      <c r="L7" s="1404"/>
      <c r="M7" s="1404"/>
      <c r="N7" s="1404"/>
      <c r="O7" s="1404"/>
      <c r="P7" s="1404"/>
      <c r="Q7" s="1404"/>
      <c r="R7" s="1404"/>
    </row>
    <row r="8" spans="1:18" ht="45.75" customHeight="1"/>
    <row r="9" spans="1:18" ht="60">
      <c r="A9" s="1403" t="s">
        <v>728</v>
      </c>
      <c r="B9" s="1405"/>
      <c r="C9" s="1405"/>
      <c r="D9" s="1405"/>
      <c r="E9" s="1405"/>
      <c r="F9" s="1405"/>
      <c r="G9" s="1405"/>
      <c r="H9" s="1405"/>
      <c r="I9" s="1405"/>
      <c r="J9" s="1405"/>
      <c r="K9" s="1405"/>
      <c r="L9" s="1405"/>
      <c r="M9" s="1405"/>
      <c r="N9" s="1405"/>
      <c r="O9" s="1405"/>
      <c r="P9" s="1405"/>
      <c r="Q9" s="1405"/>
      <c r="R9" s="1405"/>
    </row>
    <row r="11" spans="1:18" s="2" customFormat="1">
      <c r="A11" s="1"/>
      <c r="B11" s="1"/>
      <c r="C11" s="1"/>
      <c r="D11" s="1"/>
      <c r="E11" s="1"/>
      <c r="F11" s="1"/>
      <c r="G11" s="1"/>
      <c r="H11" s="1"/>
      <c r="I11" s="1"/>
      <c r="J11" s="1"/>
      <c r="K11" s="1"/>
      <c r="L11" s="1"/>
      <c r="M11" s="1"/>
      <c r="N11" s="1"/>
      <c r="O11" s="1"/>
      <c r="P11" s="1"/>
      <c r="Q11" s="1"/>
      <c r="R11" s="1"/>
    </row>
    <row r="12" spans="1:18" s="2" customFormat="1">
      <c r="A12" s="3"/>
      <c r="B12" s="3"/>
      <c r="C12" s="3"/>
      <c r="D12" s="3"/>
      <c r="E12" s="3"/>
      <c r="F12" s="3"/>
      <c r="G12" s="3"/>
      <c r="H12" s="3"/>
      <c r="I12" s="3"/>
      <c r="J12" s="3"/>
      <c r="K12" s="3"/>
      <c r="L12" s="3"/>
      <c r="M12" s="3"/>
      <c r="N12" s="3"/>
      <c r="O12" s="3"/>
      <c r="P12" s="3"/>
      <c r="Q12" s="1"/>
      <c r="R12" s="1"/>
    </row>
    <row r="13" spans="1:18" s="2" customFormat="1">
      <c r="A13" s="3"/>
      <c r="B13" s="4" t="s">
        <v>140</v>
      </c>
      <c r="C13" s="3"/>
      <c r="D13" s="3"/>
      <c r="E13" s="3"/>
      <c r="F13" s="3"/>
      <c r="G13" s="3"/>
      <c r="H13" s="3"/>
      <c r="I13" s="3"/>
      <c r="J13" s="3"/>
      <c r="K13" s="3"/>
      <c r="L13" s="3"/>
      <c r="M13" s="3"/>
      <c r="N13" s="3"/>
      <c r="O13" s="3"/>
      <c r="P13" s="3"/>
      <c r="Q13" s="1"/>
      <c r="R13" s="1"/>
    </row>
    <row r="14" spans="1:18" s="2" customFormat="1">
      <c r="A14" s="3"/>
      <c r="B14" s="3"/>
      <c r="C14" s="3"/>
      <c r="D14" s="5"/>
      <c r="E14" s="5"/>
      <c r="F14" s="5"/>
      <c r="G14" s="3"/>
      <c r="H14" s="3"/>
      <c r="I14" s="3"/>
      <c r="J14" s="3"/>
      <c r="K14" s="3"/>
      <c r="L14" s="3"/>
      <c r="M14" s="3"/>
      <c r="N14" s="3"/>
      <c r="O14" s="3"/>
      <c r="P14" s="3"/>
      <c r="Q14" s="3"/>
      <c r="R14" s="3"/>
    </row>
    <row r="15" spans="1:18" s="2" customFormat="1" ht="15.75">
      <c r="A15" s="3"/>
      <c r="B15" s="504">
        <v>0</v>
      </c>
      <c r="C15" s="505"/>
      <c r="D15" s="1406" t="s">
        <v>660</v>
      </c>
      <c r="E15" s="1407"/>
      <c r="F15" s="1407"/>
      <c r="G15" s="1407"/>
      <c r="H15" s="1407"/>
      <c r="I15" s="1407"/>
      <c r="J15" s="1407"/>
      <c r="K15" s="1407"/>
      <c r="L15" s="1407"/>
      <c r="M15" s="1407"/>
      <c r="N15" s="1408"/>
      <c r="O15" s="1409"/>
      <c r="P15" s="204"/>
      <c r="Q15" s="3"/>
      <c r="R15" s="3"/>
    </row>
    <row r="16" spans="1:18" ht="15">
      <c r="A16" s="3"/>
      <c r="B16" s="6"/>
      <c r="C16" s="6"/>
      <c r="D16" s="7"/>
      <c r="E16" s="7"/>
      <c r="F16" s="7"/>
      <c r="G16" s="6"/>
      <c r="H16" s="6"/>
      <c r="I16" s="6"/>
      <c r="J16" s="6"/>
      <c r="K16" s="6"/>
      <c r="L16" s="6"/>
      <c r="M16" s="6"/>
      <c r="N16" s="3"/>
      <c r="O16" s="3"/>
      <c r="P16" s="3"/>
      <c r="Q16" s="3"/>
      <c r="R16" s="3"/>
    </row>
    <row r="17" spans="1:18" ht="15.75">
      <c r="A17" s="3"/>
      <c r="B17" s="502">
        <v>0</v>
      </c>
      <c r="C17" s="503"/>
      <c r="D17" s="1410" t="s">
        <v>547</v>
      </c>
      <c r="E17" s="1411"/>
      <c r="F17" s="1411"/>
      <c r="G17" s="1411"/>
      <c r="H17" s="1411"/>
      <c r="I17" s="1411"/>
      <c r="J17" s="1411"/>
      <c r="K17" s="1411"/>
      <c r="L17" s="1411"/>
      <c r="M17" s="1411"/>
      <c r="N17" s="1412"/>
      <c r="O17" s="1413"/>
      <c r="P17" s="3"/>
      <c r="Q17" s="3"/>
      <c r="R17" s="3"/>
    </row>
    <row r="18" spans="1:18" ht="15">
      <c r="A18" s="3"/>
      <c r="B18" s="6"/>
      <c r="C18" s="6"/>
      <c r="D18" s="7"/>
      <c r="E18" s="7"/>
      <c r="F18" s="7"/>
      <c r="G18" s="6"/>
      <c r="H18" s="6"/>
      <c r="I18" s="6"/>
      <c r="J18" s="6"/>
      <c r="K18" s="6"/>
      <c r="L18" s="6"/>
      <c r="M18" s="6"/>
      <c r="N18" s="3"/>
      <c r="O18" s="3"/>
      <c r="P18" s="3"/>
      <c r="Q18" s="3"/>
      <c r="R18" s="3"/>
    </row>
    <row r="19" spans="1:18" ht="15.75">
      <c r="A19" s="3"/>
      <c r="B19" s="500">
        <v>0</v>
      </c>
      <c r="C19" s="501"/>
      <c r="D19" s="1414" t="s">
        <v>141</v>
      </c>
      <c r="E19" s="1400"/>
      <c r="F19" s="1400"/>
      <c r="G19" s="1400"/>
      <c r="H19" s="1400"/>
      <c r="I19" s="1400"/>
      <c r="J19" s="1400"/>
      <c r="K19" s="1400"/>
      <c r="L19" s="1400"/>
      <c r="M19" s="1400"/>
      <c r="N19" s="1401"/>
      <c r="O19" s="1402"/>
      <c r="P19" s="3"/>
      <c r="Q19" s="3"/>
      <c r="R19" s="3"/>
    </row>
    <row r="20" spans="1:18" ht="15">
      <c r="A20" s="3"/>
      <c r="B20" s="6"/>
      <c r="C20" s="6"/>
      <c r="D20" s="7"/>
      <c r="E20" s="7"/>
      <c r="F20" s="7"/>
      <c r="G20" s="6"/>
      <c r="H20" s="6"/>
      <c r="I20" s="6"/>
      <c r="J20" s="6"/>
      <c r="K20" s="6"/>
      <c r="L20" s="6"/>
      <c r="M20" s="6"/>
      <c r="N20" s="3"/>
      <c r="O20" s="3"/>
      <c r="P20" s="3"/>
      <c r="Q20" s="3"/>
      <c r="R20" s="3"/>
    </row>
    <row r="21" spans="1:18" ht="15.75">
      <c r="A21" s="3"/>
      <c r="B21" s="498">
        <v>0</v>
      </c>
      <c r="C21" s="499"/>
      <c r="D21" s="1399" t="s">
        <v>142</v>
      </c>
      <c r="E21" s="1400"/>
      <c r="F21" s="1400"/>
      <c r="G21" s="1400"/>
      <c r="H21" s="1400"/>
      <c r="I21" s="1400"/>
      <c r="J21" s="1400"/>
      <c r="K21" s="1400"/>
      <c r="L21" s="1400"/>
      <c r="M21" s="1400"/>
      <c r="N21" s="1401"/>
      <c r="O21" s="1402"/>
      <c r="P21" s="3"/>
      <c r="Q21" s="3"/>
      <c r="R21" s="3"/>
    </row>
    <row r="22" spans="1:18" ht="15">
      <c r="A22" s="3"/>
      <c r="B22" s="6"/>
      <c r="C22" s="6"/>
      <c r="D22" s="6"/>
      <c r="E22" s="6"/>
      <c r="F22" s="6"/>
      <c r="G22" s="8"/>
      <c r="H22" s="8"/>
      <c r="I22" s="6"/>
      <c r="J22" s="6"/>
      <c r="K22" s="6"/>
      <c r="L22" s="6"/>
      <c r="M22" s="6"/>
      <c r="N22" s="3"/>
      <c r="O22" s="3"/>
      <c r="P22" s="3"/>
      <c r="Q22" s="3"/>
      <c r="R22" s="3"/>
    </row>
  </sheetData>
  <mergeCells count="6">
    <mergeCell ref="D21:O21"/>
    <mergeCell ref="A7:R7"/>
    <mergeCell ref="A9:R9"/>
    <mergeCell ref="D15:O15"/>
    <mergeCell ref="D17:O17"/>
    <mergeCell ref="D19:O19"/>
  </mergeCells>
  <phoneticPr fontId="0" type="noConversion"/>
  <pageMargins left="0.75" right="0.75" top="1" bottom="1" header="0.5" footer="0.5"/>
  <pageSetup paperSize="9" scale="39" orientation="portrait" r:id="rId1"/>
  <headerFooter alignWithMargins="0">
    <oddFooter>&amp;LEnergiekamer NMa&amp;R&amp;F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6"/>
  <sheetViews>
    <sheetView showGridLines="0" zoomScale="70" zoomScaleNormal="70" zoomScaleSheetLayoutView="70" workbookViewId="0"/>
  </sheetViews>
  <sheetFormatPr defaultRowHeight="12.75"/>
  <cols>
    <col min="1" max="1" width="63.140625" customWidth="1"/>
    <col min="2" max="6" width="25.7109375" customWidth="1"/>
    <col min="7" max="7" width="93.7109375" customWidth="1"/>
    <col min="8" max="8" width="10.85546875" bestFit="1" customWidth="1"/>
    <col min="9" max="9" width="10.28515625" customWidth="1"/>
    <col min="10" max="11" width="10.85546875" bestFit="1" customWidth="1"/>
  </cols>
  <sheetData>
    <row r="1" spans="1:29" s="11" customFormat="1" ht="23.25" customHeight="1">
      <c r="A1" s="231" t="s">
        <v>1003</v>
      </c>
      <c r="B1" s="10"/>
      <c r="C1" s="10"/>
      <c r="D1" s="10"/>
      <c r="E1" s="419"/>
      <c r="F1" s="149"/>
      <c r="G1" s="652" t="s">
        <v>143</v>
      </c>
    </row>
    <row r="2" spans="1:29" s="101" customFormat="1">
      <c r="A2" s="177" t="s">
        <v>513</v>
      </c>
      <c r="B2" s="45"/>
      <c r="C2" s="22"/>
      <c r="D2" s="22"/>
      <c r="E2" s="22"/>
      <c r="F2" s="22"/>
    </row>
    <row r="3" spans="1:29" s="36" customFormat="1">
      <c r="A3" s="32" t="s">
        <v>500</v>
      </c>
      <c r="B3" s="948">
        <v>2014</v>
      </c>
      <c r="C3" s="949">
        <v>2015</v>
      </c>
      <c r="D3" s="72"/>
      <c r="H3" s="21"/>
      <c r="I3" s="21"/>
      <c r="J3" s="21"/>
      <c r="K3" s="21"/>
      <c r="L3" s="21"/>
      <c r="M3" s="21"/>
      <c r="N3" s="21"/>
      <c r="O3" s="21"/>
      <c r="P3" s="21"/>
      <c r="Q3" s="21"/>
      <c r="R3" s="21"/>
      <c r="S3" s="21"/>
      <c r="T3" s="21"/>
      <c r="U3" s="21"/>
      <c r="V3" s="21"/>
      <c r="W3" s="21"/>
      <c r="X3" s="21"/>
      <c r="Y3" s="21"/>
      <c r="Z3" s="21"/>
      <c r="AA3" s="47"/>
      <c r="AB3" s="21"/>
      <c r="AC3" s="21"/>
    </row>
    <row r="4" spans="1:29" s="22" customFormat="1">
      <c r="A4" s="90" t="s">
        <v>947</v>
      </c>
      <c r="B4" s="67">
        <f>Parameters!P11</f>
        <v>8.1599999999999229E-2</v>
      </c>
      <c r="C4" s="67">
        <f>Parameters!Q11</f>
        <v>3.9999999999999591E-2</v>
      </c>
      <c r="D4" s="76"/>
      <c r="H4" s="101"/>
      <c r="I4" s="101"/>
      <c r="J4" s="101"/>
      <c r="K4" s="101"/>
      <c r="L4" s="101"/>
      <c r="M4" s="101"/>
      <c r="N4" s="101"/>
      <c r="O4" s="101"/>
      <c r="P4" s="101"/>
      <c r="Q4" s="101"/>
      <c r="R4" s="101"/>
      <c r="S4" s="101"/>
      <c r="T4" s="101"/>
      <c r="U4" s="101"/>
      <c r="V4" s="101"/>
      <c r="W4" s="101"/>
      <c r="X4" s="101"/>
      <c r="Y4" s="101"/>
      <c r="Z4" s="101"/>
      <c r="AA4" s="43"/>
      <c r="AB4" s="101"/>
      <c r="AC4" s="101"/>
    </row>
    <row r="5" spans="1:29" ht="13.5" customHeight="1">
      <c r="A5" s="35"/>
      <c r="B5" s="22"/>
      <c r="C5" s="22"/>
      <c r="D5" s="22"/>
      <c r="E5" s="22"/>
      <c r="F5" s="22"/>
    </row>
    <row r="6" spans="1:29" s="181" customFormat="1">
      <c r="A6" s="91" t="s">
        <v>865</v>
      </c>
      <c r="B6" s="179"/>
      <c r="C6" s="179"/>
      <c r="D6" s="179"/>
      <c r="E6" s="180"/>
      <c r="F6" s="180"/>
    </row>
    <row r="7" spans="1:29" s="21" customFormat="1">
      <c r="A7" s="537"/>
      <c r="B7" s="892" t="s">
        <v>514</v>
      </c>
      <c r="C7" s="892" t="s">
        <v>515</v>
      </c>
      <c r="D7" s="892" t="s">
        <v>524</v>
      </c>
      <c r="E7" s="892" t="s">
        <v>525</v>
      </c>
      <c r="F7" s="892" t="s">
        <v>16</v>
      </c>
      <c r="H7" s="89"/>
    </row>
    <row r="8" spans="1:29" s="73" customFormat="1">
      <c r="A8" s="129" t="s">
        <v>1054</v>
      </c>
      <c r="B8" s="34">
        <f>Parameters!B94</f>
        <v>991839179.71912599</v>
      </c>
      <c r="C8" s="34">
        <f>Parameters!C75</f>
        <v>39838041.567474172</v>
      </c>
      <c r="D8" s="34">
        <f>Parameters!C94</f>
        <v>36840921.511658549</v>
      </c>
      <c r="E8" s="1369"/>
      <c r="F8" s="34">
        <f>Parameters!F75</f>
        <v>80929382.472526193</v>
      </c>
      <c r="H8" s="89"/>
    </row>
    <row r="9" spans="1:29">
      <c r="A9" s="130" t="s">
        <v>1035</v>
      </c>
      <c r="B9" s="655">
        <f>Parameters!B76</f>
        <v>958750723.43193209</v>
      </c>
      <c r="C9" s="655">
        <f>Parameters!C76</f>
        <v>38225213.660000004</v>
      </c>
      <c r="D9" s="655">
        <f>Parameters!D76</f>
        <v>34208590.454470299</v>
      </c>
      <c r="E9" s="1383"/>
      <c r="F9" s="655">
        <f>Parameters!F76</f>
        <v>77373310.019999996</v>
      </c>
      <c r="G9" s="675"/>
    </row>
    <row r="10" spans="1:29">
      <c r="A10" s="90" t="s">
        <v>1055</v>
      </c>
      <c r="B10" s="34">
        <f>B8-B9</f>
        <v>33088456.287193894</v>
      </c>
      <c r="C10" s="34">
        <f>C8-C9</f>
        <v>1612827.9074741676</v>
      </c>
      <c r="D10" s="34">
        <f>D8-D9</f>
        <v>2632331.0571882501</v>
      </c>
      <c r="E10" s="1369"/>
      <c r="F10" s="34">
        <f>F8-F9</f>
        <v>3556072.4525261968</v>
      </c>
    </row>
    <row r="11" spans="1:29" s="28" customFormat="1">
      <c r="A11" s="90" t="s">
        <v>1056</v>
      </c>
      <c r="B11" s="34">
        <f>B10*(1+$B$4)</f>
        <v>35788474.32022889</v>
      </c>
      <c r="C11" s="34">
        <f>C10*(1+$B$4)</f>
        <v>1744434.6647240585</v>
      </c>
      <c r="D11" s="34">
        <f>D10*(1+$B$4)</f>
        <v>2847129.2714548092</v>
      </c>
      <c r="E11" s="1369"/>
      <c r="F11" s="34">
        <f>F10*(1+$B$4)</f>
        <v>3846247.9646523315</v>
      </c>
    </row>
    <row r="12" spans="1:29">
      <c r="A12" s="130" t="s">
        <v>1040</v>
      </c>
      <c r="B12" s="655">
        <f>Parameters!B84</f>
        <v>854760619.38343453</v>
      </c>
      <c r="C12" s="29">
        <f>Parameters!C83</f>
        <v>31110941.808018349</v>
      </c>
      <c r="D12" s="29">
        <f>Parameters!D83</f>
        <v>48526232.305103332</v>
      </c>
      <c r="E12" s="662"/>
      <c r="F12" s="29">
        <f>Parameters!F83</f>
        <v>77307604.879740357</v>
      </c>
    </row>
    <row r="13" spans="1:29" s="101" customFormat="1">
      <c r="A13" s="130" t="s">
        <v>930</v>
      </c>
      <c r="B13" s="667"/>
      <c r="C13" s="667"/>
      <c r="D13" s="667"/>
      <c r="E13" s="655">
        <f>'TAR_Tab 6_NPD'!C60</f>
        <v>522377.73071476113</v>
      </c>
      <c r="F13" s="667"/>
    </row>
    <row r="14" spans="1:29">
      <c r="A14" s="391" t="s">
        <v>1052</v>
      </c>
      <c r="B14" s="27">
        <f>B11/B12</f>
        <v>4.1869587237236348E-2</v>
      </c>
      <c r="C14" s="27">
        <f>C11/(C12)</f>
        <v>5.6071419357496217E-2</v>
      </c>
      <c r="D14" s="27">
        <f>D11/(D12)</f>
        <v>5.8671962281221381E-2</v>
      </c>
      <c r="E14" s="1368"/>
      <c r="F14" s="27">
        <f>F11/(F12)</f>
        <v>4.9752517499870183E-2</v>
      </c>
    </row>
    <row r="15" spans="1:29">
      <c r="A15" s="657"/>
      <c r="B15" s="658"/>
      <c r="C15" s="658"/>
      <c r="D15" s="658"/>
      <c r="E15" s="656"/>
      <c r="F15" s="658"/>
    </row>
    <row r="16" spans="1:29" s="11" customFormat="1" ht="15">
      <c r="A16" s="91" t="s">
        <v>866</v>
      </c>
      <c r="B16" s="419"/>
      <c r="C16" s="419"/>
      <c r="D16" s="419"/>
      <c r="E16" s="419"/>
      <c r="F16" s="419"/>
    </row>
    <row r="17" spans="1:7" s="11" customFormat="1" ht="15">
      <c r="A17" s="91"/>
      <c r="B17" s="446" t="s">
        <v>514</v>
      </c>
      <c r="C17" s="892" t="s">
        <v>515</v>
      </c>
      <c r="D17" s="892" t="s">
        <v>524</v>
      </c>
      <c r="E17" s="892" t="s">
        <v>525</v>
      </c>
      <c r="F17" s="892" t="s">
        <v>16</v>
      </c>
    </row>
    <row r="18" spans="1:7" s="28" customFormat="1">
      <c r="A18" s="177" t="s">
        <v>870</v>
      </c>
      <c r="B18" s="895">
        <v>8660611.9499999993</v>
      </c>
      <c r="C18" s="661"/>
      <c r="D18" s="661"/>
      <c r="E18" s="661"/>
      <c r="F18" s="661"/>
      <c r="G18" s="675" t="s">
        <v>872</v>
      </c>
    </row>
    <row r="19" spans="1:7" s="28" customFormat="1">
      <c r="A19" s="178" t="s">
        <v>526</v>
      </c>
      <c r="B19" s="34">
        <f>B18/2</f>
        <v>4330305.9749999996</v>
      </c>
      <c r="C19" s="661"/>
      <c r="D19" s="661"/>
      <c r="E19" s="661"/>
      <c r="F19" s="661"/>
    </row>
    <row r="20" spans="1:7" s="28" customFormat="1">
      <c r="A20" s="90" t="s">
        <v>862</v>
      </c>
      <c r="B20" s="34">
        <f>-B19*(1+$B$4)</f>
        <v>-4683658.9425599966</v>
      </c>
      <c r="C20" s="661"/>
      <c r="D20" s="661"/>
      <c r="E20" s="661"/>
      <c r="F20" s="661"/>
    </row>
    <row r="21" spans="1:7" s="28" customFormat="1">
      <c r="A21" s="130" t="s">
        <v>939</v>
      </c>
      <c r="B21" s="655">
        <f>Parameters!B84</f>
        <v>854760619.38343453</v>
      </c>
      <c r="C21" s="661"/>
      <c r="D21" s="661"/>
      <c r="E21" s="661"/>
      <c r="F21" s="661"/>
    </row>
    <row r="22" spans="1:7">
      <c r="A22" s="391" t="s">
        <v>1052</v>
      </c>
      <c r="B22" s="27">
        <f>B20/B21</f>
        <v>-5.4794978106717943E-3</v>
      </c>
      <c r="C22" s="662"/>
      <c r="D22" s="662"/>
      <c r="E22" s="662"/>
      <c r="F22" s="662"/>
    </row>
    <row r="23" spans="1:7">
      <c r="A23" s="22"/>
      <c r="B23" s="22"/>
      <c r="C23" s="22"/>
      <c r="D23" s="22"/>
      <c r="E23" s="22"/>
      <c r="F23" s="22"/>
    </row>
    <row r="24" spans="1:7" s="11" customFormat="1" ht="15">
      <c r="A24" s="91" t="s">
        <v>867</v>
      </c>
      <c r="B24" s="46"/>
      <c r="C24" s="46"/>
      <c r="D24" s="46"/>
      <c r="E24" s="46"/>
      <c r="F24" s="46"/>
    </row>
    <row r="25" spans="1:7" s="11" customFormat="1" ht="15">
      <c r="A25" s="91"/>
      <c r="B25" s="966" t="s">
        <v>514</v>
      </c>
      <c r="C25" s="892" t="s">
        <v>515</v>
      </c>
      <c r="D25" s="892" t="s">
        <v>524</v>
      </c>
      <c r="E25" s="892" t="s">
        <v>525</v>
      </c>
      <c r="F25" s="892" t="s">
        <v>16</v>
      </c>
    </row>
    <row r="26" spans="1:7">
      <c r="A26" s="1061" t="s">
        <v>945</v>
      </c>
      <c r="B26" s="643">
        <v>0</v>
      </c>
      <c r="C26" s="663"/>
      <c r="D26" s="663"/>
      <c r="E26" s="663"/>
      <c r="F26" s="663"/>
    </row>
    <row r="27" spans="1:7" s="101" customFormat="1">
      <c r="A27" s="129" t="s">
        <v>1126</v>
      </c>
      <c r="B27" s="1114">
        <f>B26*(1+C4)</f>
        <v>0</v>
      </c>
      <c r="C27" s="663"/>
      <c r="D27" s="663"/>
      <c r="E27" s="663"/>
      <c r="F27" s="663"/>
    </row>
    <row r="28" spans="1:7" s="101" customFormat="1">
      <c r="A28" s="129" t="s">
        <v>944</v>
      </c>
      <c r="B28" s="303">
        <v>162911</v>
      </c>
      <c r="C28" s="663"/>
      <c r="D28" s="663"/>
      <c r="E28" s="663"/>
      <c r="F28" s="663"/>
      <c r="G28" s="675" t="s">
        <v>872</v>
      </c>
    </row>
    <row r="29" spans="1:7" s="101" customFormat="1">
      <c r="A29" s="129" t="s">
        <v>1125</v>
      </c>
      <c r="B29" s="151">
        <f>B28*(1+B4)</f>
        <v>176204.53759999987</v>
      </c>
      <c r="C29" s="663"/>
      <c r="D29" s="663"/>
      <c r="E29" s="663"/>
      <c r="F29" s="663"/>
      <c r="G29" s="675"/>
    </row>
    <row r="30" spans="1:7" s="101" customFormat="1">
      <c r="A30" s="128" t="s">
        <v>933</v>
      </c>
      <c r="B30" s="303">
        <v>0</v>
      </c>
      <c r="C30" s="663"/>
      <c r="D30" s="663"/>
      <c r="E30" s="663"/>
      <c r="F30" s="663"/>
    </row>
    <row r="31" spans="1:7" s="101" customFormat="1">
      <c r="A31" s="129" t="s">
        <v>934</v>
      </c>
      <c r="B31" s="1313">
        <f>-B29</f>
        <v>-176204.53759999987</v>
      </c>
      <c r="C31" s="663"/>
      <c r="D31" s="663"/>
      <c r="E31" s="663"/>
      <c r="F31" s="663"/>
    </row>
    <row r="32" spans="1:7" s="101" customFormat="1">
      <c r="A32" s="128" t="s">
        <v>946</v>
      </c>
      <c r="B32" s="151">
        <f>B27+SUM(B29:B31)</f>
        <v>0</v>
      </c>
      <c r="C32" s="663"/>
      <c r="D32" s="663"/>
      <c r="E32" s="663"/>
      <c r="F32" s="663"/>
    </row>
    <row r="33" spans="1:11" s="101" customFormat="1">
      <c r="A33" s="130" t="s">
        <v>1040</v>
      </c>
      <c r="B33" s="1062">
        <f>Parameters!B84</f>
        <v>854760619.38343453</v>
      </c>
      <c r="C33" s="663"/>
      <c r="D33" s="663"/>
      <c r="E33" s="663"/>
      <c r="F33" s="663"/>
    </row>
    <row r="34" spans="1:11" s="101" customFormat="1">
      <c r="A34" s="391" t="s">
        <v>1052</v>
      </c>
      <c r="B34" s="1063">
        <f>B31/B33</f>
        <v>-2.0614489437651174E-4</v>
      </c>
      <c r="C34" s="663"/>
      <c r="D34" s="663"/>
      <c r="E34" s="663"/>
      <c r="F34" s="663"/>
    </row>
    <row r="35" spans="1:11">
      <c r="A35" s="657"/>
      <c r="B35" s="659"/>
      <c r="C35" s="492"/>
      <c r="D35" s="492"/>
      <c r="E35" s="492"/>
      <c r="F35" s="492"/>
    </row>
    <row r="36" spans="1:11" s="101" customFormat="1">
      <c r="A36" s="91" t="s">
        <v>868</v>
      </c>
      <c r="B36" s="46"/>
      <c r="C36" s="46"/>
      <c r="D36" s="46"/>
      <c r="E36" s="46"/>
      <c r="F36" s="46"/>
    </row>
    <row r="37" spans="1:11" s="101" customFormat="1">
      <c r="A37" s="91"/>
      <c r="B37" s="446" t="s">
        <v>514</v>
      </c>
      <c r="C37" s="446" t="s">
        <v>515</v>
      </c>
      <c r="D37" s="893" t="s">
        <v>524</v>
      </c>
      <c r="E37" s="893" t="s">
        <v>525</v>
      </c>
      <c r="F37" s="446" t="s">
        <v>16</v>
      </c>
    </row>
    <row r="38" spans="1:11" s="101" customFormat="1">
      <c r="A38" s="108" t="s">
        <v>856</v>
      </c>
      <c r="B38" s="1059">
        <v>64768714.866699994</v>
      </c>
      <c r="C38" s="1059">
        <v>2338476.5761500001</v>
      </c>
      <c r="D38" s="671">
        <v>3755735.1071499996</v>
      </c>
      <c r="E38" s="663"/>
      <c r="F38" s="671">
        <v>24560886.07</v>
      </c>
      <c r="G38" s="675" t="s">
        <v>1008</v>
      </c>
      <c r="H38" s="393"/>
      <c r="I38" s="393"/>
      <c r="J38" s="393"/>
      <c r="K38" s="393"/>
    </row>
    <row r="39" spans="1:11" s="101" customFormat="1">
      <c r="A39" s="108" t="s">
        <v>849</v>
      </c>
      <c r="B39" s="674">
        <f>Parameters!P61</f>
        <v>1.051644</v>
      </c>
      <c r="C39" s="672">
        <f>Parameters!P61</f>
        <v>1.051644</v>
      </c>
      <c r="D39" s="672">
        <f>Parameters!P61</f>
        <v>1.051644</v>
      </c>
      <c r="E39" s="540"/>
      <c r="F39" s="672">
        <f>Parameters!P61</f>
        <v>1.051644</v>
      </c>
    </row>
    <row r="40" spans="1:11" s="101" customFormat="1">
      <c r="A40" s="108" t="s">
        <v>857</v>
      </c>
      <c r="B40" s="679">
        <f>B38*B39</f>
        <v>68113630.377275854</v>
      </c>
      <c r="C40" s="679">
        <f t="shared" ref="C40:F40" si="0">C38*C39</f>
        <v>2459244.8604486906</v>
      </c>
      <c r="D40" s="679">
        <f>D38*D39</f>
        <v>3949696.2910236544</v>
      </c>
      <c r="E40" s="670"/>
      <c r="F40" s="679">
        <f t="shared" si="0"/>
        <v>25829308.470199082</v>
      </c>
    </row>
    <row r="41" spans="1:11" s="101" customFormat="1">
      <c r="A41" s="108" t="s">
        <v>858</v>
      </c>
      <c r="B41" s="1060">
        <v>51238065.272058077</v>
      </c>
      <c r="C41" s="303">
        <v>1849952.0284222283</v>
      </c>
      <c r="D41" s="303">
        <v>2971135.0759508512</v>
      </c>
      <c r="E41" s="663"/>
      <c r="F41" s="303">
        <v>25129475.246453635</v>
      </c>
      <c r="G41" s="675" t="s">
        <v>1009</v>
      </c>
    </row>
    <row r="42" spans="1:11" s="101" customFormat="1">
      <c r="A42" s="108" t="s">
        <v>864</v>
      </c>
      <c r="B42" s="673">
        <f>B41-B40</f>
        <v>-16875565.105217777</v>
      </c>
      <c r="C42" s="673">
        <f t="shared" ref="C42:F42" si="1">C41-C40</f>
        <v>-609292.8320264623</v>
      </c>
      <c r="D42" s="673">
        <f>D41-D40</f>
        <v>-978561.2150728032</v>
      </c>
      <c r="E42" s="670"/>
      <c r="F42" s="673">
        <f t="shared" si="1"/>
        <v>-699833.22374544665</v>
      </c>
    </row>
    <row r="43" spans="1:11" s="101" customFormat="1">
      <c r="A43" s="108" t="s">
        <v>859</v>
      </c>
      <c r="B43" s="673">
        <f>B42*0.25</f>
        <v>-4218891.2763044443</v>
      </c>
      <c r="C43" s="673">
        <f t="shared" ref="C43:F43" si="2">C42*0.25</f>
        <v>-152323.20800661558</v>
      </c>
      <c r="D43" s="673">
        <f>D42*0.25</f>
        <v>-244640.3037682008</v>
      </c>
      <c r="E43" s="670"/>
      <c r="F43" s="673">
        <f t="shared" si="2"/>
        <v>-174958.30593636166</v>
      </c>
      <c r="G43" s="393"/>
    </row>
    <row r="44" spans="1:11" s="101" customFormat="1">
      <c r="A44" s="676" t="s">
        <v>860</v>
      </c>
      <c r="B44" s="673">
        <f>IF(B42&lt;0,-0.05*B40,0.05*B40)</f>
        <v>-3405681.518863793</v>
      </c>
      <c r="C44" s="673">
        <f t="shared" ref="C44:F44" si="3">IF(C42&lt;0,-0.05*C40,0.05*C40)</f>
        <v>-122962.24302243453</v>
      </c>
      <c r="D44" s="673">
        <f>IF(D42&lt;0,-0.05*D40,0.05*D40)</f>
        <v>-197484.81455118273</v>
      </c>
      <c r="E44" s="670"/>
      <c r="F44" s="673">
        <f t="shared" si="3"/>
        <v>-1291465.4235099542</v>
      </c>
    </row>
    <row r="45" spans="1:11" s="101" customFormat="1">
      <c r="A45" s="108" t="s">
        <v>861</v>
      </c>
      <c r="B45" s="673">
        <f>IF(B42&lt;0,MAX(B43:B44),MIN(B43:B44))</f>
        <v>-3405681.518863793</v>
      </c>
      <c r="C45" s="673">
        <f t="shared" ref="C45:F45" si="4">IF(C42&lt;0,MAX(C43:C44),MIN(C43:C44))</f>
        <v>-122962.24302243453</v>
      </c>
      <c r="D45" s="673">
        <f>IF(D42&lt;0,MAX(D43:D44),MIN(D43:D44))</f>
        <v>-197484.81455118273</v>
      </c>
      <c r="E45" s="670"/>
      <c r="F45" s="673">
        <f t="shared" si="4"/>
        <v>-174958.30593636166</v>
      </c>
      <c r="G45" s="393"/>
    </row>
    <row r="46" spans="1:11" s="101" customFormat="1">
      <c r="A46" s="108" t="s">
        <v>863</v>
      </c>
      <c r="B46" s="673">
        <f>B42-B45</f>
        <v>-13469883.586353984</v>
      </c>
      <c r="C46" s="673">
        <f t="shared" ref="C46:F46" si="5">C42-C45</f>
        <v>-486330.58900402777</v>
      </c>
      <c r="D46" s="673">
        <f>D42-D45</f>
        <v>-781076.40052162041</v>
      </c>
      <c r="E46" s="670"/>
      <c r="F46" s="673">
        <f t="shared" si="5"/>
        <v>-524874.91780908499</v>
      </c>
    </row>
    <row r="47" spans="1:11" s="101" customFormat="1">
      <c r="A47" s="108" t="s">
        <v>862</v>
      </c>
      <c r="B47" s="673">
        <f>B46*(1+$B$4)</f>
        <v>-14569026.087000458</v>
      </c>
      <c r="C47" s="673">
        <f t="shared" ref="C47:F47" si="6">C46*(1+$B$4)</f>
        <v>-526015.16506675608</v>
      </c>
      <c r="D47" s="673">
        <f>D46*(1+$B$4)</f>
        <v>-844812.23480418406</v>
      </c>
      <c r="E47" s="670"/>
      <c r="F47" s="673">
        <f t="shared" si="6"/>
        <v>-567704.71110230591</v>
      </c>
    </row>
    <row r="48" spans="1:11" s="101" customFormat="1">
      <c r="A48" s="130" t="s">
        <v>1040</v>
      </c>
      <c r="B48" s="743">
        <f>Parameters!B84</f>
        <v>854760619.38343453</v>
      </c>
      <c r="C48" s="287">
        <f>Parameters!C83</f>
        <v>31110941.808018349</v>
      </c>
      <c r="D48" s="287">
        <f>Parameters!D83</f>
        <v>48526232.305103332</v>
      </c>
      <c r="E48" s="663"/>
      <c r="F48" s="287">
        <f>Parameters!F83</f>
        <v>77307604.879740357</v>
      </c>
    </row>
    <row r="49" spans="1:7" s="101" customFormat="1">
      <c r="A49" s="391" t="s">
        <v>1052</v>
      </c>
      <c r="B49" s="766">
        <f>B47/B48</f>
        <v>-1.704456868580299E-2</v>
      </c>
      <c r="C49" s="766">
        <f t="shared" ref="C49:F49" si="7">C47/C48</f>
        <v>-1.6907722315599717E-2</v>
      </c>
      <c r="D49" s="766">
        <f>D47/D48</f>
        <v>-1.7409392707278825E-2</v>
      </c>
      <c r="E49" s="663"/>
      <c r="F49" s="766">
        <f t="shared" si="7"/>
        <v>-7.3434523289840226E-3</v>
      </c>
    </row>
    <row r="50" spans="1:7" s="101" customFormat="1">
      <c r="A50" s="76"/>
      <c r="B50" s="659"/>
      <c r="C50" s="492"/>
      <c r="D50" s="492"/>
      <c r="E50" s="492"/>
      <c r="F50" s="492"/>
    </row>
    <row r="51" spans="1:7">
      <c r="A51" s="91" t="s">
        <v>869</v>
      </c>
      <c r="B51" s="660"/>
      <c r="C51" s="660"/>
      <c r="D51" s="660"/>
      <c r="E51" s="660"/>
      <c r="F51" s="660"/>
    </row>
    <row r="52" spans="1:7" s="101" customFormat="1">
      <c r="A52" s="91"/>
      <c r="B52" s="892" t="s">
        <v>514</v>
      </c>
      <c r="C52" s="892" t="s">
        <v>515</v>
      </c>
      <c r="D52" s="892" t="s">
        <v>524</v>
      </c>
      <c r="E52" s="892" t="s">
        <v>525</v>
      </c>
      <c r="F52" s="892" t="s">
        <v>16</v>
      </c>
    </row>
    <row r="53" spans="1:7">
      <c r="A53" s="177" t="s">
        <v>855</v>
      </c>
      <c r="B53" s="666"/>
      <c r="C53" s="894">
        <v>520935</v>
      </c>
      <c r="D53" s="669"/>
      <c r="E53" s="669"/>
      <c r="F53" s="669"/>
      <c r="G53" s="675" t="s">
        <v>872</v>
      </c>
    </row>
    <row r="54" spans="1:7">
      <c r="A54" s="90" t="s">
        <v>862</v>
      </c>
      <c r="B54" s="666"/>
      <c r="C54" s="665">
        <f>-C53*(1+B4)</f>
        <v>-563443.29599999962</v>
      </c>
      <c r="D54" s="669"/>
      <c r="E54" s="669"/>
      <c r="F54" s="669"/>
    </row>
    <row r="55" spans="1:7">
      <c r="A55" s="130" t="s">
        <v>1040</v>
      </c>
      <c r="B55" s="667"/>
      <c r="C55" s="664">
        <f>Parameters!C83</f>
        <v>31110941.808018349</v>
      </c>
      <c r="D55" s="669"/>
      <c r="E55" s="669"/>
      <c r="F55" s="669"/>
    </row>
    <row r="56" spans="1:7">
      <c r="A56" s="391" t="s">
        <v>1052</v>
      </c>
      <c r="B56" s="668"/>
      <c r="C56" s="813">
        <f>C54/C55</f>
        <v>-1.8110775928190676E-2</v>
      </c>
      <c r="D56" s="662"/>
      <c r="E56" s="662"/>
      <c r="F56" s="662"/>
    </row>
  </sheetData>
  <pageMargins left="0.7" right="0.7" top="0.75" bottom="0.75" header="0.3" footer="0.3"/>
  <pageSetup paperSize="9" scale="2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24"/>
  <sheetViews>
    <sheetView showGridLines="0" zoomScale="70" zoomScaleNormal="70" zoomScaleSheetLayoutView="70" workbookViewId="0">
      <selection sqref="A1:E1"/>
    </sheetView>
  </sheetViews>
  <sheetFormatPr defaultRowHeight="12.75"/>
  <cols>
    <col min="1" max="1" width="62.85546875" style="1202" customWidth="1"/>
    <col min="2" max="2" width="44" style="1202" customWidth="1"/>
    <col min="3" max="3" width="38.42578125" style="1202" customWidth="1"/>
    <col min="4" max="4" width="32" style="1202" bestFit="1" customWidth="1"/>
    <col min="5" max="5" width="33.42578125" style="1202" bestFit="1" customWidth="1"/>
    <col min="6" max="6" width="21.85546875" style="1202" customWidth="1"/>
    <col min="7" max="7" width="25.5703125" style="1202" customWidth="1"/>
    <col min="8" max="8" width="25.140625" style="1202" customWidth="1"/>
    <col min="9" max="9" width="25.28515625" style="1202" customWidth="1"/>
    <col min="10" max="12" width="26.85546875" style="1202" customWidth="1"/>
    <col min="13" max="13" width="27.42578125" style="1202" customWidth="1"/>
    <col min="14" max="14" width="30.7109375" style="1202" customWidth="1"/>
    <col min="15" max="16" width="30.28515625" style="1202" customWidth="1"/>
    <col min="17" max="18" width="39.140625" style="1202" customWidth="1"/>
    <col min="19" max="19" width="32" style="1202" customWidth="1"/>
    <col min="20" max="20" width="40.42578125" style="1202" customWidth="1"/>
    <col min="21" max="21" width="28" style="1202" customWidth="1"/>
    <col min="22" max="22" width="39.7109375" style="1202" customWidth="1"/>
    <col min="23" max="23" width="41.140625" style="1203" customWidth="1"/>
    <col min="24" max="24" width="22.7109375" style="1202" bestFit="1" customWidth="1"/>
    <col min="25" max="25" width="28.28515625" style="1202" customWidth="1"/>
    <col min="26" max="16384" width="9.140625" style="1201"/>
  </cols>
  <sheetData>
    <row r="1" spans="1:43" s="11" customFormat="1" ht="23.25" customHeight="1">
      <c r="A1" s="1444" t="s">
        <v>1180</v>
      </c>
      <c r="B1" s="1447"/>
      <c r="C1" s="1447"/>
      <c r="D1" s="1447"/>
      <c r="E1" s="1447"/>
      <c r="F1" s="68"/>
      <c r="G1" s="69"/>
      <c r="H1" s="68"/>
      <c r="I1" s="69"/>
      <c r="J1" s="407"/>
      <c r="K1" s="407"/>
      <c r="L1" s="407"/>
      <c r="M1" s="407"/>
      <c r="N1" s="408"/>
      <c r="O1" s="653"/>
      <c r="P1" s="653"/>
      <c r="Q1" s="653"/>
      <c r="R1" s="653"/>
      <c r="S1" s="653"/>
      <c r="T1" s="652" t="s">
        <v>143</v>
      </c>
      <c r="V1" s="1146"/>
      <c r="X1" s="63"/>
      <c r="Y1" s="1152"/>
    </row>
    <row r="2" spans="1:43" s="1152" customFormat="1">
      <c r="A2" s="1147"/>
      <c r="B2" s="1148"/>
      <c r="C2" s="1148"/>
      <c r="D2" s="1150"/>
      <c r="E2" s="1151"/>
      <c r="F2" s="1151"/>
      <c r="G2" s="1151"/>
      <c r="H2" s="1151"/>
      <c r="I2" s="1151"/>
      <c r="J2" s="1151"/>
      <c r="K2" s="1151"/>
      <c r="L2" s="1151"/>
      <c r="M2" s="1151"/>
      <c r="N2" s="1151"/>
      <c r="O2" s="1151"/>
      <c r="P2" s="1151"/>
      <c r="Q2" s="1151"/>
      <c r="R2" s="1151"/>
      <c r="S2" s="1149"/>
      <c r="T2" s="1149"/>
      <c r="U2" s="1149"/>
      <c r="V2" s="1149"/>
      <c r="W2" s="1150"/>
      <c r="X2" s="1151"/>
    </row>
    <row r="3" spans="1:43" s="1152" customFormat="1">
      <c r="A3" s="409" t="s">
        <v>13</v>
      </c>
      <c r="B3" s="410"/>
      <c r="C3" s="1149"/>
      <c r="D3" s="1150"/>
      <c r="E3" s="1151"/>
      <c r="F3" s="1151"/>
      <c r="G3" s="1151"/>
      <c r="H3" s="1151"/>
      <c r="I3" s="1151"/>
      <c r="J3" s="1151"/>
      <c r="K3" s="1151"/>
      <c r="L3" s="1151"/>
      <c r="M3" s="1151"/>
      <c r="N3" s="1151"/>
      <c r="O3" s="1151"/>
      <c r="P3" s="1151"/>
      <c r="Q3" s="1151"/>
      <c r="R3" s="1151"/>
      <c r="S3" s="1149"/>
      <c r="T3" s="1149"/>
      <c r="U3" s="1149"/>
      <c r="V3" s="1149"/>
      <c r="W3" s="1150"/>
      <c r="X3" s="1151"/>
    </row>
    <row r="4" spans="1:43" s="1155" customFormat="1">
      <c r="A4" s="1153" t="s">
        <v>562</v>
      </c>
      <c r="B4" s="1154">
        <f>Parameters!B14</f>
        <v>5.8000000000000003E-2</v>
      </c>
      <c r="C4" s="1155" t="s">
        <v>559</v>
      </c>
      <c r="D4" s="1150"/>
      <c r="E4" s="1151"/>
      <c r="F4" s="1151"/>
      <c r="G4" s="1151"/>
      <c r="H4" s="1151"/>
      <c r="I4" s="1151"/>
      <c r="J4" s="1151"/>
      <c r="K4" s="1151"/>
      <c r="L4" s="1151"/>
      <c r="M4" s="1151"/>
      <c r="N4" s="1151"/>
      <c r="O4" s="1151"/>
      <c r="P4" s="1151"/>
      <c r="Q4" s="1151"/>
      <c r="R4" s="1151"/>
      <c r="S4" s="1156"/>
      <c r="W4" s="1150"/>
      <c r="X4" s="1151"/>
      <c r="Y4" s="1152"/>
      <c r="AO4" s="1156"/>
      <c r="AP4" s="1156"/>
      <c r="AQ4" s="1156"/>
    </row>
    <row r="5" spans="1:43" s="1152" customFormat="1">
      <c r="A5" s="1158" t="s">
        <v>508</v>
      </c>
      <c r="B5" s="1154">
        <f>Parameters!B15</f>
        <v>3.5999999999999997E-2</v>
      </c>
      <c r="C5" s="1155" t="s">
        <v>687</v>
      </c>
      <c r="D5" s="1150"/>
      <c r="E5" s="1151"/>
      <c r="F5" s="1151"/>
      <c r="G5" s="1151"/>
      <c r="H5" s="1151"/>
      <c r="I5" s="1151"/>
      <c r="J5" s="1151"/>
      <c r="K5" s="1151"/>
      <c r="L5" s="1151"/>
      <c r="M5" s="1151"/>
      <c r="N5" s="1151"/>
      <c r="O5" s="1151"/>
      <c r="P5" s="1151"/>
      <c r="Q5" s="1151"/>
      <c r="R5" s="1151"/>
      <c r="S5" s="1149"/>
      <c r="T5" s="1149"/>
      <c r="U5" s="1149"/>
      <c r="V5" s="1149"/>
      <c r="W5" s="1150"/>
      <c r="X5" s="1151"/>
      <c r="Y5" s="1151"/>
    </row>
    <row r="6" spans="1:43" s="1152" customFormat="1">
      <c r="A6" s="1153" t="s">
        <v>581</v>
      </c>
      <c r="B6" s="224">
        <f>Parameters!B25</f>
        <v>0.01</v>
      </c>
      <c r="C6" s="1155" t="s">
        <v>687</v>
      </c>
      <c r="D6" s="1150"/>
      <c r="E6" s="1151"/>
      <c r="F6" s="1151"/>
      <c r="G6" s="1151"/>
      <c r="H6" s="1151"/>
      <c r="I6" s="1151"/>
      <c r="J6" s="1151"/>
      <c r="K6" s="1151"/>
      <c r="L6" s="1151"/>
      <c r="M6" s="1151"/>
      <c r="N6" s="1151"/>
      <c r="O6" s="1151"/>
      <c r="P6" s="1151"/>
      <c r="Q6" s="1151"/>
      <c r="R6" s="1151"/>
      <c r="W6" s="1150"/>
      <c r="X6" s="1151"/>
      <c r="Y6" s="1151"/>
    </row>
    <row r="7" spans="1:43" s="1152" customFormat="1">
      <c r="A7" s="1158"/>
      <c r="B7" s="411"/>
      <c r="C7" s="1149"/>
      <c r="D7" s="1150"/>
      <c r="E7" s="1151"/>
      <c r="W7" s="1159"/>
      <c r="X7" s="1151"/>
      <c r="Y7" s="1151"/>
    </row>
    <row r="8" spans="1:43" s="1152" customFormat="1">
      <c r="A8" s="409" t="s">
        <v>460</v>
      </c>
      <c r="W8" s="1159"/>
    </row>
    <row r="9" spans="1:43" s="1152" customFormat="1">
      <c r="A9" s="1257" t="s">
        <v>462</v>
      </c>
      <c r="B9" s="50" t="s">
        <v>456</v>
      </c>
      <c r="C9" s="1160">
        <v>2013</v>
      </c>
      <c r="D9" s="218">
        <v>2014</v>
      </c>
      <c r="E9" s="218">
        <v>2015</v>
      </c>
      <c r="F9" s="1066">
        <v>2016</v>
      </c>
      <c r="W9" s="1159"/>
    </row>
    <row r="10" spans="1:43" s="1152" customFormat="1">
      <c r="A10" s="161">
        <v>2013</v>
      </c>
      <c r="B10" s="220">
        <f>Parameters!B62</f>
        <v>1.0229999999999999</v>
      </c>
      <c r="C10" s="150">
        <f>Parameters!O62</f>
        <v>1</v>
      </c>
      <c r="D10" s="150">
        <f>Parameters!P62</f>
        <v>1.028</v>
      </c>
      <c r="E10" s="150">
        <f>Parameters!Q62</f>
        <v>1.0382800000000001</v>
      </c>
      <c r="F10" s="150">
        <f>Parameters!R62</f>
        <v>1.0465862400000001</v>
      </c>
      <c r="W10" s="1159"/>
    </row>
    <row r="11" spans="1:43" s="1152" customFormat="1">
      <c r="A11" s="161">
        <v>2014</v>
      </c>
      <c r="B11" s="220">
        <f>Parameters!B63</f>
        <v>1.028</v>
      </c>
      <c r="C11" s="439"/>
      <c r="D11" s="150">
        <f>Parameters!P63</f>
        <v>1</v>
      </c>
      <c r="E11" s="150">
        <f>Parameters!Q63</f>
        <v>1.01</v>
      </c>
      <c r="F11" s="150">
        <f>Parameters!R63</f>
        <v>1.0180800000000001</v>
      </c>
      <c r="W11" s="1159"/>
    </row>
    <row r="12" spans="1:43" s="1152" customFormat="1">
      <c r="A12" s="161">
        <v>2015</v>
      </c>
      <c r="B12" s="220">
        <f>Parameters!B64</f>
        <v>1.01</v>
      </c>
      <c r="C12" s="439"/>
      <c r="D12" s="439"/>
      <c r="E12" s="150">
        <f>Parameters!Q64</f>
        <v>1</v>
      </c>
      <c r="F12" s="150">
        <f>Parameters!R64</f>
        <v>1.008</v>
      </c>
      <c r="G12" s="413"/>
      <c r="H12" s="413"/>
      <c r="I12" s="413"/>
      <c r="J12" s="413"/>
      <c r="K12" s="413"/>
      <c r="L12" s="413"/>
      <c r="M12" s="1161"/>
      <c r="N12" s="1162"/>
      <c r="O12" s="1163"/>
      <c r="P12" s="1163"/>
      <c r="Q12" s="1164"/>
      <c r="R12" s="1164"/>
      <c r="S12" s="514"/>
      <c r="T12" s="514"/>
      <c r="U12" s="514"/>
      <c r="V12" s="413"/>
      <c r="W12" s="572"/>
    </row>
    <row r="13" spans="1:43" s="1152" customFormat="1">
      <c r="A13" s="161">
        <v>2016</v>
      </c>
      <c r="B13" s="220">
        <f>Parameters!B65</f>
        <v>1.008</v>
      </c>
      <c r="C13" s="439"/>
      <c r="D13" s="439"/>
      <c r="E13" s="439"/>
      <c r="F13" s="150">
        <f>Parameters!R65</f>
        <v>1</v>
      </c>
      <c r="M13" s="1162"/>
      <c r="N13" s="1165"/>
      <c r="O13" s="1162"/>
      <c r="P13" s="1162"/>
      <c r="Q13" s="1162"/>
      <c r="R13" s="1162"/>
      <c r="S13" s="1162"/>
      <c r="T13" s="1162"/>
      <c r="U13" s="1162"/>
      <c r="V13" s="1162"/>
      <c r="W13" s="1159"/>
    </row>
    <row r="14" spans="1:43" s="1152" customFormat="1">
      <c r="B14" s="1166"/>
      <c r="C14" s="433"/>
      <c r="D14" s="1162"/>
      <c r="E14" s="1162"/>
      <c r="F14" s="1162"/>
      <c r="G14" s="1162"/>
      <c r="H14" s="1162"/>
      <c r="I14" s="1162"/>
      <c r="J14" s="1162"/>
      <c r="K14" s="1162"/>
      <c r="L14" s="1162"/>
      <c r="M14" s="1162"/>
      <c r="N14" s="1162"/>
      <c r="O14" s="1162"/>
      <c r="P14" s="1162"/>
      <c r="Q14" s="1162"/>
      <c r="R14" s="1162"/>
      <c r="S14" s="1162"/>
      <c r="T14" s="1162"/>
      <c r="U14" s="1162"/>
      <c r="V14" s="1162"/>
      <c r="W14" s="1159"/>
    </row>
    <row r="15" spans="1:43" s="1162" customFormat="1">
      <c r="A15" s="409" t="s">
        <v>500</v>
      </c>
      <c r="B15" s="948">
        <v>2014</v>
      </c>
      <c r="C15" s="948">
        <v>2015</v>
      </c>
      <c r="F15" s="1162" t="s">
        <v>513</v>
      </c>
      <c r="G15" s="1162" t="s">
        <v>513</v>
      </c>
      <c r="W15" s="1159"/>
      <c r="X15" s="1152"/>
      <c r="Y15" s="1152"/>
      <c r="Z15" s="1152"/>
      <c r="AA15" s="1152"/>
      <c r="AB15" s="1152"/>
      <c r="AC15" s="1152"/>
      <c r="AD15" s="1152"/>
      <c r="AE15" s="1152"/>
      <c r="AF15" s="1152"/>
      <c r="AG15" s="1152"/>
      <c r="AH15" s="1152"/>
      <c r="AI15" s="1152"/>
      <c r="AJ15" s="1152"/>
      <c r="AK15" s="1152"/>
      <c r="AL15" s="1167"/>
      <c r="AM15" s="1152"/>
      <c r="AN15" s="1152"/>
    </row>
    <row r="16" spans="1:43" s="1149" customFormat="1">
      <c r="A16" s="161" t="s">
        <v>936</v>
      </c>
      <c r="B16" s="880">
        <f>Parameters!P11</f>
        <v>8.1599999999999229E-2</v>
      </c>
      <c r="C16" s="880">
        <f>Parameters!Q11</f>
        <v>3.9999999999999591E-2</v>
      </c>
      <c r="D16" s="105"/>
      <c r="E16" s="105" t="s">
        <v>513</v>
      </c>
      <c r="W16" s="1150"/>
      <c r="X16" s="1151"/>
      <c r="Y16" s="1151"/>
      <c r="Z16" s="1151"/>
      <c r="AA16" s="1151"/>
      <c r="AB16" s="1151"/>
      <c r="AC16" s="1151"/>
      <c r="AD16" s="1151"/>
      <c r="AE16" s="1151"/>
      <c r="AF16" s="1151"/>
      <c r="AG16" s="1151"/>
      <c r="AH16" s="1151"/>
      <c r="AI16" s="1151"/>
      <c r="AJ16" s="1151"/>
      <c r="AK16" s="1151"/>
      <c r="AL16" s="1168"/>
      <c r="AM16" s="1151"/>
      <c r="AN16" s="1151"/>
    </row>
    <row r="17" spans="1:40" s="1149" customFormat="1">
      <c r="A17" s="161"/>
      <c r="B17" s="245"/>
      <c r="C17" s="245"/>
      <c r="D17" s="105"/>
      <c r="E17" s="105"/>
      <c r="F17" s="1169"/>
      <c r="G17" s="1169"/>
      <c r="H17" s="1169"/>
      <c r="I17" s="1169"/>
      <c r="J17" s="1169"/>
      <c r="K17" s="1169"/>
      <c r="L17" s="1169"/>
      <c r="W17" s="1150"/>
      <c r="X17" s="1151"/>
      <c r="Y17" s="1151"/>
      <c r="Z17" s="1151"/>
      <c r="AA17" s="1151"/>
      <c r="AB17" s="1151"/>
      <c r="AC17" s="1151"/>
      <c r="AD17" s="1151"/>
      <c r="AE17" s="1151"/>
      <c r="AF17" s="1151"/>
      <c r="AG17" s="1151"/>
      <c r="AH17" s="1151"/>
      <c r="AI17" s="1151"/>
      <c r="AJ17" s="1151"/>
      <c r="AK17" s="1151"/>
      <c r="AL17" s="1168"/>
      <c r="AM17" s="1151"/>
      <c r="AN17" s="1151"/>
    </row>
    <row r="18" spans="1:40" s="1149" customFormat="1">
      <c r="A18" s="1173" t="s">
        <v>1181</v>
      </c>
      <c r="B18" s="1258" t="s">
        <v>1182</v>
      </c>
      <c r="C18" s="1259" t="s">
        <v>1183</v>
      </c>
      <c r="D18" s="1259" t="s">
        <v>1184</v>
      </c>
      <c r="F18" s="1169"/>
      <c r="G18" s="1169"/>
      <c r="H18" s="1169"/>
      <c r="I18" s="1169"/>
      <c r="J18" s="1169"/>
      <c r="K18" s="1169"/>
      <c r="L18" s="1169"/>
      <c r="W18" s="1150"/>
      <c r="X18" s="1151"/>
      <c r="Y18" s="1151"/>
      <c r="Z18" s="1151"/>
      <c r="AA18" s="1151"/>
      <c r="AB18" s="1151"/>
      <c r="AC18" s="1151"/>
      <c r="AD18" s="1151"/>
      <c r="AE18" s="1151"/>
      <c r="AF18" s="1151"/>
      <c r="AG18" s="1151"/>
      <c r="AH18" s="1151"/>
      <c r="AI18" s="1151"/>
      <c r="AJ18" s="1151"/>
      <c r="AK18" s="1151"/>
      <c r="AL18" s="1168"/>
      <c r="AM18" s="1151"/>
      <c r="AN18" s="1151"/>
    </row>
    <row r="19" spans="1:40" s="1149" customFormat="1">
      <c r="A19" s="1173" t="s">
        <v>144</v>
      </c>
      <c r="B19" s="1260" t="s">
        <v>145</v>
      </c>
      <c r="C19" s="542" t="s">
        <v>1185</v>
      </c>
      <c r="D19" s="542" t="s">
        <v>1186</v>
      </c>
      <c r="F19" s="1169"/>
      <c r="G19" s="1169"/>
      <c r="H19" s="1169"/>
      <c r="I19" s="1169"/>
      <c r="J19" s="1169"/>
      <c r="K19" s="1169"/>
      <c r="L19" s="1169"/>
      <c r="W19" s="1150"/>
      <c r="X19" s="1151"/>
      <c r="Y19" s="1151"/>
      <c r="Z19" s="1151"/>
      <c r="AA19" s="1151"/>
      <c r="AB19" s="1151"/>
      <c r="AC19" s="1151"/>
      <c r="AD19" s="1151"/>
      <c r="AE19" s="1151"/>
      <c r="AF19" s="1151"/>
      <c r="AG19" s="1151"/>
      <c r="AH19" s="1151"/>
      <c r="AI19" s="1151"/>
      <c r="AJ19" s="1151"/>
      <c r="AK19" s="1151"/>
      <c r="AL19" s="1168"/>
      <c r="AM19" s="1151"/>
      <c r="AN19" s="1151"/>
    </row>
    <row r="20" spans="1:40" s="1149" customFormat="1">
      <c r="A20" s="1327">
        <v>301454</v>
      </c>
      <c r="B20" s="1328" t="s">
        <v>646</v>
      </c>
      <c r="C20" s="1389"/>
      <c r="D20" s="1391"/>
      <c r="F20" s="1169"/>
      <c r="G20" s="1169"/>
      <c r="H20" s="1169"/>
      <c r="I20" s="1169"/>
      <c r="J20" s="1169"/>
      <c r="K20" s="1169"/>
      <c r="L20" s="1169"/>
      <c r="W20" s="1150"/>
      <c r="X20" s="1151"/>
      <c r="Y20" s="1151"/>
      <c r="Z20" s="1151"/>
      <c r="AA20" s="1151"/>
      <c r="AB20" s="1151"/>
      <c r="AC20" s="1151"/>
      <c r="AD20" s="1151"/>
      <c r="AE20" s="1151"/>
      <c r="AF20" s="1151"/>
      <c r="AG20" s="1151"/>
      <c r="AH20" s="1151"/>
      <c r="AI20" s="1151"/>
      <c r="AJ20" s="1151"/>
      <c r="AK20" s="1151"/>
      <c r="AL20" s="1168"/>
      <c r="AM20" s="1151"/>
      <c r="AN20" s="1151"/>
    </row>
    <row r="21" spans="1:40" s="1149" customFormat="1">
      <c r="A21" s="1327">
        <v>301348</v>
      </c>
      <c r="B21" s="1328" t="s">
        <v>19</v>
      </c>
      <c r="C21" s="1389"/>
      <c r="D21" s="1390"/>
      <c r="F21" s="1169"/>
      <c r="G21" s="1169"/>
      <c r="H21" s="1169"/>
      <c r="I21" s="1169"/>
      <c r="J21" s="1169"/>
      <c r="K21" s="1169"/>
      <c r="L21" s="1169"/>
      <c r="W21" s="1150"/>
      <c r="X21" s="1151"/>
      <c r="Y21" s="1151"/>
      <c r="Z21" s="1151"/>
      <c r="AA21" s="1151"/>
      <c r="AB21" s="1151"/>
      <c r="AC21" s="1151"/>
      <c r="AD21" s="1151"/>
      <c r="AE21" s="1151"/>
      <c r="AF21" s="1151"/>
      <c r="AG21" s="1151"/>
      <c r="AH21" s="1151"/>
      <c r="AI21" s="1151"/>
      <c r="AJ21" s="1151"/>
      <c r="AK21" s="1151"/>
      <c r="AL21" s="1168"/>
      <c r="AM21" s="1151"/>
      <c r="AN21" s="1151"/>
    </row>
    <row r="22" spans="1:40" s="1149" customFormat="1">
      <c r="A22" s="1327">
        <v>301391</v>
      </c>
      <c r="B22" s="1328" t="s">
        <v>658</v>
      </c>
      <c r="C22" s="1389"/>
      <c r="D22" s="1390"/>
      <c r="F22" s="1169"/>
      <c r="G22" s="1169"/>
      <c r="H22" s="1169"/>
      <c r="I22" s="1169"/>
      <c r="J22" s="1169"/>
      <c r="K22" s="1169"/>
      <c r="L22" s="1169"/>
      <c r="W22" s="1150"/>
      <c r="X22" s="1151"/>
      <c r="Y22" s="1151"/>
      <c r="Z22" s="1151"/>
      <c r="AA22" s="1151"/>
      <c r="AB22" s="1151"/>
      <c r="AC22" s="1151"/>
      <c r="AD22" s="1151"/>
      <c r="AE22" s="1151"/>
      <c r="AF22" s="1151"/>
      <c r="AG22" s="1151"/>
      <c r="AH22" s="1151"/>
      <c r="AI22" s="1151"/>
      <c r="AJ22" s="1151"/>
      <c r="AK22" s="1151"/>
      <c r="AL22" s="1168"/>
      <c r="AM22" s="1151"/>
      <c r="AN22" s="1151"/>
    </row>
    <row r="23" spans="1:40" s="1149" customFormat="1">
      <c r="A23" s="1152"/>
      <c r="B23" s="1193" t="s">
        <v>383</v>
      </c>
      <c r="C23" s="1388"/>
      <c r="D23" s="1388"/>
      <c r="F23" s="1169"/>
      <c r="G23" s="1169"/>
      <c r="H23" s="1169"/>
      <c r="I23" s="1169"/>
      <c r="J23" s="1169"/>
      <c r="K23" s="1169"/>
      <c r="L23" s="1169"/>
      <c r="W23" s="1150"/>
      <c r="X23" s="1151"/>
      <c r="Y23" s="1151"/>
      <c r="Z23" s="1151"/>
      <c r="AA23" s="1151"/>
      <c r="AB23" s="1151"/>
      <c r="AC23" s="1151"/>
      <c r="AD23" s="1151"/>
      <c r="AE23" s="1151"/>
      <c r="AF23" s="1151"/>
      <c r="AG23" s="1151"/>
      <c r="AH23" s="1151"/>
      <c r="AI23" s="1151"/>
      <c r="AJ23" s="1151"/>
      <c r="AK23" s="1151"/>
      <c r="AL23" s="1168"/>
      <c r="AM23" s="1151"/>
      <c r="AN23" s="1151"/>
    </row>
    <row r="24" spans="1:40" s="1149" customFormat="1">
      <c r="A24" s="105"/>
      <c r="B24" s="105"/>
      <c r="C24" s="105"/>
      <c r="D24" s="105"/>
      <c r="E24" s="105"/>
      <c r="F24" s="1169"/>
      <c r="G24" s="1169"/>
      <c r="H24" s="1169"/>
      <c r="I24" s="1169"/>
      <c r="J24" s="1169"/>
      <c r="K24" s="1169"/>
      <c r="L24" s="1169"/>
      <c r="W24" s="1150"/>
      <c r="X24" s="1151"/>
      <c r="Y24" s="1151"/>
      <c r="Z24" s="1151"/>
      <c r="AA24" s="1151"/>
      <c r="AB24" s="1151"/>
      <c r="AC24" s="1151"/>
      <c r="AD24" s="1151"/>
      <c r="AE24" s="1151"/>
      <c r="AF24" s="1151"/>
      <c r="AG24" s="1151"/>
      <c r="AH24" s="1151"/>
      <c r="AI24" s="1151"/>
      <c r="AJ24" s="1151"/>
      <c r="AK24" s="1151"/>
      <c r="AL24" s="1168"/>
      <c r="AM24" s="1151"/>
      <c r="AN24" s="1151"/>
    </row>
    <row r="25" spans="1:40" s="1152" customFormat="1">
      <c r="A25" s="1175"/>
      <c r="B25" s="1175"/>
      <c r="C25" s="1175"/>
      <c r="D25" s="1175"/>
      <c r="E25" s="1175"/>
      <c r="F25" s="515"/>
      <c r="G25" s="515"/>
      <c r="H25" s="515"/>
      <c r="I25" s="515"/>
      <c r="J25" s="515"/>
      <c r="K25" s="515"/>
      <c r="L25" s="515"/>
      <c r="M25" s="515"/>
      <c r="N25" s="515"/>
      <c r="O25" s="1175"/>
      <c r="P25" s="1175"/>
      <c r="Q25" s="1175"/>
      <c r="R25" s="1175"/>
      <c r="S25" s="1176"/>
      <c r="T25" s="1175"/>
      <c r="U25" s="515"/>
      <c r="V25" s="515"/>
      <c r="W25" s="753"/>
      <c r="X25" s="515"/>
      <c r="Y25" s="515"/>
    </row>
    <row r="26" spans="1:40" s="1152" customFormat="1">
      <c r="A26" s="1177" t="s">
        <v>925</v>
      </c>
      <c r="B26" s="1178"/>
      <c r="C26" s="1179"/>
      <c r="D26" s="1178"/>
      <c r="E26" s="1180"/>
      <c r="F26" s="1181"/>
      <c r="G26" s="1170" t="s">
        <v>1021</v>
      </c>
      <c r="H26" s="1171" t="s">
        <v>663</v>
      </c>
      <c r="I26" s="1171" t="s">
        <v>1022</v>
      </c>
      <c r="J26" s="1261" t="s">
        <v>918</v>
      </c>
      <c r="K26" s="1261" t="s">
        <v>918</v>
      </c>
      <c r="L26" s="1261" t="s">
        <v>918</v>
      </c>
      <c r="M26" s="1261" t="s">
        <v>918</v>
      </c>
      <c r="N26" s="1262" t="s">
        <v>582</v>
      </c>
      <c r="O26" s="1262" t="s">
        <v>663</v>
      </c>
      <c r="P26" s="1262" t="s">
        <v>663</v>
      </c>
      <c r="Q26" s="1261" t="s">
        <v>664</v>
      </c>
      <c r="R26" s="1261" t="s">
        <v>664</v>
      </c>
      <c r="S26" s="1262" t="s">
        <v>1187</v>
      </c>
      <c r="T26" s="1262" t="s">
        <v>1187</v>
      </c>
      <c r="W26" s="1183"/>
    </row>
    <row r="27" spans="1:40" s="1152" customFormat="1">
      <c r="A27" s="1178"/>
      <c r="B27" s="1178"/>
      <c r="C27" s="1179"/>
      <c r="D27" s="1178"/>
      <c r="E27" s="1180"/>
      <c r="F27" s="1181"/>
      <c r="G27" s="1172" t="s">
        <v>697</v>
      </c>
      <c r="H27" s="1171">
        <v>2015</v>
      </c>
      <c r="I27" s="1172"/>
      <c r="J27" s="1261">
        <v>2013</v>
      </c>
      <c r="K27" s="1261">
        <v>2014</v>
      </c>
      <c r="L27" s="1261">
        <v>2015</v>
      </c>
      <c r="M27" s="1259">
        <v>2016</v>
      </c>
      <c r="N27" s="1259"/>
      <c r="O27" s="1262">
        <v>2014</v>
      </c>
      <c r="P27" s="1262">
        <v>2015</v>
      </c>
      <c r="Q27" s="1262">
        <v>2014</v>
      </c>
      <c r="R27" s="1262">
        <v>2015</v>
      </c>
      <c r="S27" s="1262">
        <v>2014</v>
      </c>
      <c r="T27" s="1262">
        <v>2015</v>
      </c>
      <c r="W27" s="1184"/>
    </row>
    <row r="28" spans="1:40" s="1152" customFormat="1">
      <c r="A28" s="1173" t="s">
        <v>144</v>
      </c>
      <c r="B28" s="1260" t="s">
        <v>145</v>
      </c>
      <c r="C28" s="1170" t="s">
        <v>491</v>
      </c>
      <c r="D28" s="1170" t="s">
        <v>493</v>
      </c>
      <c r="E28" s="1170" t="s">
        <v>458</v>
      </c>
      <c r="F28" s="1170" t="s">
        <v>492</v>
      </c>
      <c r="G28" s="1182" t="s">
        <v>583</v>
      </c>
      <c r="H28" s="1171" t="s">
        <v>698</v>
      </c>
      <c r="I28" s="1172"/>
      <c r="J28" s="1261"/>
      <c r="K28" s="1261"/>
      <c r="L28" s="1261"/>
      <c r="M28" s="1259"/>
      <c r="N28" s="1263"/>
      <c r="O28" s="1262"/>
      <c r="P28" s="1262"/>
      <c r="Q28" s="1262"/>
      <c r="R28" s="1262"/>
      <c r="S28" s="1262"/>
      <c r="T28" s="1262"/>
      <c r="W28" s="1183"/>
    </row>
    <row r="29" spans="1:40" s="1152" customFormat="1">
      <c r="A29" s="1329">
        <v>301454</v>
      </c>
      <c r="B29" s="1330" t="s">
        <v>646</v>
      </c>
      <c r="C29" s="1331" t="s">
        <v>659</v>
      </c>
      <c r="D29" s="1370"/>
      <c r="E29" s="1387"/>
      <c r="F29" s="1360"/>
      <c r="G29" s="1371"/>
      <c r="H29" s="1387"/>
      <c r="I29" s="1355"/>
      <c r="J29" s="1386"/>
      <c r="K29" s="1386"/>
      <c r="L29" s="1386"/>
      <c r="M29" s="1386"/>
      <c r="N29" s="1389"/>
      <c r="O29" s="1389"/>
      <c r="P29" s="1389"/>
      <c r="Q29" s="1359"/>
      <c r="R29" s="1359"/>
      <c r="S29" s="1389"/>
      <c r="T29" s="1385"/>
      <c r="W29" s="754"/>
    </row>
    <row r="30" spans="1:40" s="1152" customFormat="1">
      <c r="A30" s="1329">
        <v>301454</v>
      </c>
      <c r="B30" s="1330" t="s">
        <v>646</v>
      </c>
      <c r="C30" s="1331" t="s">
        <v>1160</v>
      </c>
      <c r="D30" s="1370"/>
      <c r="E30" s="1387"/>
      <c r="F30" s="1360"/>
      <c r="G30" s="1371"/>
      <c r="H30" s="1387"/>
      <c r="I30" s="1355"/>
      <c r="J30" s="1386"/>
      <c r="K30" s="1386"/>
      <c r="L30" s="1386"/>
      <c r="M30" s="1386"/>
      <c r="N30" s="1389"/>
      <c r="O30" s="1389"/>
      <c r="P30" s="1389"/>
      <c r="Q30" s="1359"/>
      <c r="R30" s="1359"/>
      <c r="S30" s="1389"/>
      <c r="T30" s="1385"/>
      <c r="W30" s="754"/>
    </row>
    <row r="31" spans="1:40" s="1152" customFormat="1">
      <c r="A31" s="1329">
        <v>301454</v>
      </c>
      <c r="B31" s="1330" t="s">
        <v>646</v>
      </c>
      <c r="C31" s="1331" t="s">
        <v>1160</v>
      </c>
      <c r="D31" s="1370"/>
      <c r="E31" s="1387"/>
      <c r="F31" s="1360"/>
      <c r="G31" s="1371"/>
      <c r="H31" s="1387"/>
      <c r="I31" s="1355"/>
      <c r="J31" s="1386"/>
      <c r="K31" s="1386"/>
      <c r="L31" s="1386"/>
      <c r="M31" s="1386"/>
      <c r="N31" s="1389"/>
      <c r="O31" s="1389"/>
      <c r="P31" s="1389"/>
      <c r="Q31" s="1359"/>
      <c r="R31" s="1359"/>
      <c r="S31" s="1389"/>
      <c r="T31" s="1385"/>
      <c r="W31" s="754"/>
    </row>
    <row r="32" spans="1:40" s="1152" customFormat="1">
      <c r="A32" s="1329">
        <v>301454</v>
      </c>
      <c r="B32" s="1330" t="s">
        <v>646</v>
      </c>
      <c r="C32" s="1331" t="s">
        <v>1160</v>
      </c>
      <c r="D32" s="1370"/>
      <c r="E32" s="1387"/>
      <c r="F32" s="1360"/>
      <c r="G32" s="1371"/>
      <c r="H32" s="1387"/>
      <c r="I32" s="1355"/>
      <c r="J32" s="1386"/>
      <c r="K32" s="1386"/>
      <c r="L32" s="1386"/>
      <c r="M32" s="1386"/>
      <c r="N32" s="1389"/>
      <c r="O32" s="1389"/>
      <c r="P32" s="1389"/>
      <c r="Q32" s="1359"/>
      <c r="R32" s="1359"/>
      <c r="S32" s="1389"/>
      <c r="T32" s="1385"/>
      <c r="W32" s="754"/>
    </row>
    <row r="33" spans="1:25" s="1152" customFormat="1">
      <c r="A33" s="1329">
        <v>301348</v>
      </c>
      <c r="B33" s="1330" t="s">
        <v>19</v>
      </c>
      <c r="C33" s="1331" t="s">
        <v>659</v>
      </c>
      <c r="D33" s="1370"/>
      <c r="E33" s="1387"/>
      <c r="F33" s="1360"/>
      <c r="G33" s="1371"/>
      <c r="H33" s="1390"/>
      <c r="I33" s="1355"/>
      <c r="J33" s="1386"/>
      <c r="K33" s="1386"/>
      <c r="L33" s="1386"/>
      <c r="M33" s="1386"/>
      <c r="N33" s="1389"/>
      <c r="O33" s="1389"/>
      <c r="P33" s="1389"/>
      <c r="Q33" s="1359"/>
      <c r="R33" s="1359"/>
      <c r="S33" s="1389"/>
      <c r="T33" s="1385"/>
      <c r="W33" s="754"/>
    </row>
    <row r="34" spans="1:25" s="1152" customFormat="1">
      <c r="A34" s="1329">
        <v>301348</v>
      </c>
      <c r="B34" s="1330" t="s">
        <v>19</v>
      </c>
      <c r="C34" s="1331" t="s">
        <v>1160</v>
      </c>
      <c r="D34" s="1370"/>
      <c r="E34" s="1387"/>
      <c r="F34" s="1360"/>
      <c r="G34" s="1371"/>
      <c r="H34" s="1390"/>
      <c r="I34" s="1355"/>
      <c r="J34" s="1386"/>
      <c r="K34" s="1386"/>
      <c r="L34" s="1386"/>
      <c r="M34" s="1386"/>
      <c r="N34" s="1389"/>
      <c r="O34" s="1389"/>
      <c r="P34" s="1389"/>
      <c r="Q34" s="1359"/>
      <c r="R34" s="1359"/>
      <c r="S34" s="1389"/>
      <c r="T34" s="1385"/>
      <c r="W34" s="754"/>
    </row>
    <row r="35" spans="1:25" s="1152" customFormat="1">
      <c r="A35" s="1329">
        <v>301348</v>
      </c>
      <c r="B35" s="1330" t="s">
        <v>19</v>
      </c>
      <c r="C35" s="1331" t="s">
        <v>1160</v>
      </c>
      <c r="D35" s="1370"/>
      <c r="E35" s="1387"/>
      <c r="F35" s="1360"/>
      <c r="G35" s="1371"/>
      <c r="H35" s="1390"/>
      <c r="I35" s="1355"/>
      <c r="J35" s="1386"/>
      <c r="K35" s="1386"/>
      <c r="L35" s="1386"/>
      <c r="M35" s="1386"/>
      <c r="N35" s="1389"/>
      <c r="O35" s="1389"/>
      <c r="P35" s="1389"/>
      <c r="Q35" s="1359"/>
      <c r="R35" s="1359"/>
      <c r="S35" s="1389"/>
      <c r="T35" s="1385"/>
      <c r="W35" s="754"/>
    </row>
    <row r="36" spans="1:25" s="1152" customFormat="1">
      <c r="A36" s="1329">
        <v>301391</v>
      </c>
      <c r="B36" s="1330" t="s">
        <v>658</v>
      </c>
      <c r="C36" s="1331" t="s">
        <v>659</v>
      </c>
      <c r="D36" s="1370"/>
      <c r="E36" s="1387"/>
      <c r="F36" s="1360"/>
      <c r="G36" s="1371"/>
      <c r="H36" s="1390"/>
      <c r="I36" s="1355"/>
      <c r="J36" s="1386"/>
      <c r="K36" s="1386"/>
      <c r="L36" s="1386"/>
      <c r="M36" s="1386"/>
      <c r="N36" s="1389"/>
      <c r="O36" s="1389"/>
      <c r="P36" s="1389"/>
      <c r="Q36" s="1359"/>
      <c r="R36" s="1359"/>
      <c r="S36" s="1389"/>
      <c r="T36" s="1385"/>
      <c r="W36" s="754"/>
    </row>
    <row r="37" spans="1:25" s="1152" customFormat="1">
      <c r="A37" s="1329">
        <v>301391</v>
      </c>
      <c r="B37" s="1330" t="s">
        <v>658</v>
      </c>
      <c r="C37" s="1331" t="s">
        <v>1160</v>
      </c>
      <c r="D37" s="1370"/>
      <c r="E37" s="1387"/>
      <c r="F37" s="1360"/>
      <c r="G37" s="1371"/>
      <c r="H37" s="1390"/>
      <c r="I37" s="1355"/>
      <c r="J37" s="1386"/>
      <c r="K37" s="1386"/>
      <c r="L37" s="1386"/>
      <c r="M37" s="1386"/>
      <c r="N37" s="1389"/>
      <c r="O37" s="1389"/>
      <c r="P37" s="1389"/>
      <c r="Q37" s="1359"/>
      <c r="R37" s="1359"/>
      <c r="S37" s="1389"/>
      <c r="T37" s="1385"/>
      <c r="W37" s="754"/>
    </row>
    <row r="38" spans="1:25" s="1152" customFormat="1">
      <c r="A38" s="1329">
        <v>301391</v>
      </c>
      <c r="B38" s="1330" t="s">
        <v>658</v>
      </c>
      <c r="C38" s="1331" t="s">
        <v>1160</v>
      </c>
      <c r="D38" s="1370"/>
      <c r="E38" s="1387"/>
      <c r="F38" s="1360"/>
      <c r="G38" s="1371"/>
      <c r="H38" s="1390"/>
      <c r="I38" s="1355"/>
      <c r="J38" s="1386"/>
      <c r="K38" s="1386"/>
      <c r="L38" s="1386"/>
      <c r="M38" s="1386"/>
      <c r="N38" s="1389"/>
      <c r="O38" s="1389"/>
      <c r="P38" s="1389"/>
      <c r="Q38" s="1359"/>
      <c r="R38" s="1359"/>
      <c r="S38" s="1389"/>
      <c r="T38" s="1385"/>
      <c r="W38" s="754"/>
    </row>
    <row r="39" spans="1:25" s="1152" customFormat="1">
      <c r="A39" s="1186"/>
      <c r="B39" s="1149"/>
      <c r="C39" s="1149"/>
      <c r="D39" s="1149"/>
      <c r="E39" s="1149"/>
      <c r="F39" s="1149"/>
      <c r="G39" s="1149"/>
      <c r="H39" s="1149"/>
      <c r="I39" s="1149"/>
      <c r="J39" s="1149"/>
      <c r="K39" s="1149"/>
      <c r="L39" s="1187"/>
      <c r="M39" s="1187"/>
      <c r="N39" s="1188"/>
      <c r="O39" s="1188"/>
      <c r="P39" s="1189"/>
      <c r="Q39" s="1189"/>
      <c r="R39" s="1187"/>
      <c r="S39" s="1264"/>
      <c r="T39" s="1264"/>
      <c r="V39" s="1187"/>
      <c r="W39" s="1187"/>
    </row>
    <row r="40" spans="1:25" s="1152" customFormat="1">
      <c r="A40" s="1173" t="s">
        <v>924</v>
      </c>
      <c r="C40" s="386"/>
      <c r="D40" s="1149"/>
      <c r="E40" s="1149"/>
      <c r="F40" s="1149"/>
      <c r="G40" s="1149"/>
      <c r="H40" s="1149"/>
      <c r="I40" s="1149"/>
      <c r="J40" s="1149"/>
      <c r="K40" s="1149"/>
      <c r="L40" s="1149"/>
      <c r="M40" s="1149"/>
      <c r="N40" s="1149"/>
      <c r="O40" s="1149"/>
      <c r="P40" s="1149"/>
      <c r="Q40" s="1190"/>
      <c r="R40" s="1190"/>
      <c r="S40" s="1149"/>
      <c r="T40" s="1149"/>
      <c r="U40" s="1149"/>
      <c r="V40" s="1150"/>
      <c r="W40" s="1149"/>
      <c r="Y40" s="1151"/>
    </row>
    <row r="41" spans="1:25" s="1152" customFormat="1">
      <c r="A41" s="1173" t="s">
        <v>144</v>
      </c>
      <c r="B41" s="1260" t="s">
        <v>145</v>
      </c>
      <c r="C41" s="1219" t="s">
        <v>1188</v>
      </c>
      <c r="D41" s="1219" t="s">
        <v>1189</v>
      </c>
      <c r="E41" s="542" t="s">
        <v>1090</v>
      </c>
      <c r="G41" s="1149"/>
      <c r="H41" s="1149"/>
      <c r="I41" s="1149"/>
      <c r="J41" s="1149"/>
      <c r="K41" s="1149"/>
      <c r="L41" s="1149"/>
      <c r="M41" s="1149"/>
      <c r="N41" s="1149"/>
      <c r="O41" s="1149"/>
      <c r="P41" s="1149"/>
      <c r="Q41" s="1190"/>
      <c r="R41" s="1190"/>
      <c r="S41" s="1149"/>
      <c r="T41" s="1149"/>
      <c r="U41" s="1149"/>
      <c r="V41" s="1150"/>
      <c r="W41" s="1149"/>
      <c r="Y41" s="1151"/>
    </row>
    <row r="42" spans="1:25" s="1152" customFormat="1">
      <c r="A42" s="1191">
        <f>'TAR_Tab 2_Volumina'!AC22</f>
        <v>301454</v>
      </c>
      <c r="B42" s="1267" t="str">
        <f>'TAR_Tab 2_Volumina'!AD22</f>
        <v>MAASVLAKTE Q16 ORANJE NASSAU (ONE)</v>
      </c>
      <c r="C42" s="1390"/>
      <c r="D42" s="1390"/>
      <c r="E42" s="1332" t="s">
        <v>638</v>
      </c>
      <c r="H42" s="1149"/>
      <c r="I42" s="1149"/>
      <c r="J42" s="1149"/>
      <c r="K42" s="1149"/>
      <c r="L42" s="1149"/>
      <c r="M42" s="1149"/>
      <c r="N42" s="1149"/>
      <c r="O42" s="1149"/>
      <c r="P42" s="1149"/>
      <c r="Q42" s="1190"/>
      <c r="R42" s="1190"/>
      <c r="S42" s="1149"/>
      <c r="U42" s="1149"/>
      <c r="V42" s="1151"/>
      <c r="W42" s="1150"/>
      <c r="X42" s="1151"/>
      <c r="Y42" s="1151"/>
    </row>
    <row r="43" spans="1:25" s="1152" customFormat="1">
      <c r="A43" s="1191">
        <f>'TAR_Tab 2_Volumina'!AC24</f>
        <v>301348</v>
      </c>
      <c r="B43" s="1267" t="str">
        <f>'TAR_Tab 2_Volumina'!AD24</f>
        <v>BERGERMEER (TAQA-UGS)</v>
      </c>
      <c r="C43" s="1390"/>
      <c r="D43" s="1390"/>
      <c r="E43" s="1332" t="s">
        <v>638</v>
      </c>
      <c r="S43" s="1174"/>
      <c r="T43" s="1174"/>
      <c r="U43" s="1174"/>
      <c r="W43" s="1159"/>
      <c r="X43" s="1151"/>
      <c r="Y43" s="1151"/>
    </row>
    <row r="44" spans="1:25" s="1152" customFormat="1">
      <c r="A44" s="1191">
        <f>'TAR_Tab 2_Volumina'!AC25</f>
        <v>301391</v>
      </c>
      <c r="B44" s="1267" t="str">
        <f>'TAR_Tab 2_Volumina'!AD25</f>
        <v>OUDE STATENZIJL (ASTORA JEMGUM)</v>
      </c>
      <c r="C44" s="1390"/>
      <c r="D44" s="1390"/>
      <c r="E44" s="1332" t="s">
        <v>638</v>
      </c>
      <c r="S44" s="1174"/>
      <c r="T44" s="1174"/>
      <c r="U44" s="1174"/>
      <c r="W44" s="1159"/>
      <c r="X44" s="1151"/>
      <c r="Y44" s="1151"/>
    </row>
    <row r="45" spans="1:25" s="1152" customFormat="1">
      <c r="B45" s="1193" t="s">
        <v>383</v>
      </c>
      <c r="C45" s="1388"/>
      <c r="D45" s="1388"/>
      <c r="E45" s="1149"/>
      <c r="G45" s="1149"/>
      <c r="H45" s="1192"/>
      <c r="I45" s="1149"/>
      <c r="J45" s="1149"/>
      <c r="K45" s="1149"/>
      <c r="L45" s="1149"/>
      <c r="N45" s="1149"/>
      <c r="O45" s="1149"/>
      <c r="P45" s="1149"/>
      <c r="Q45" s="1149"/>
      <c r="R45" s="1149"/>
      <c r="S45" s="1192"/>
      <c r="T45" s="1192"/>
      <c r="U45" s="1192"/>
      <c r="V45" s="1151"/>
      <c r="W45" s="1159"/>
    </row>
    <row r="46" spans="1:25" s="1152" customFormat="1">
      <c r="B46" s="1193"/>
      <c r="C46" s="1265"/>
      <c r="D46" s="1265"/>
      <c r="E46" s="1149"/>
      <c r="G46" s="1174"/>
      <c r="H46" s="1174"/>
      <c r="I46" s="1149"/>
      <c r="J46" s="1149"/>
      <c r="K46" s="1149"/>
      <c r="L46" s="1149"/>
      <c r="N46" s="1149"/>
      <c r="O46" s="1149"/>
      <c r="P46" s="1149"/>
      <c r="Q46" s="1149"/>
      <c r="R46" s="1149"/>
      <c r="S46" s="1149"/>
      <c r="T46" s="1149"/>
      <c r="U46" s="1149"/>
      <c r="V46" s="1151"/>
      <c r="W46" s="1159"/>
    </row>
    <row r="47" spans="1:25" s="1152" customFormat="1">
      <c r="B47" s="1193"/>
      <c r="C47" s="1265"/>
      <c r="D47" s="1265"/>
      <c r="E47" s="1149"/>
      <c r="G47" s="1174"/>
      <c r="H47" s="1174"/>
      <c r="J47" s="1149"/>
      <c r="K47" s="1149"/>
      <c r="L47" s="1149"/>
      <c r="N47" s="1149"/>
      <c r="O47" s="1149"/>
      <c r="P47" s="1149"/>
      <c r="Q47" s="1149"/>
      <c r="R47" s="1149"/>
      <c r="S47" s="1149"/>
      <c r="T47" s="1149"/>
      <c r="U47" s="1149"/>
      <c r="V47" s="1151"/>
      <c r="W47" s="1159"/>
    </row>
    <row r="48" spans="1:25" s="1152" customFormat="1">
      <c r="A48" s="1173" t="s">
        <v>1190</v>
      </c>
      <c r="B48" s="1173"/>
      <c r="C48" s="1149"/>
      <c r="D48" s="1149"/>
      <c r="E48" s="1149"/>
      <c r="G48" s="1192"/>
      <c r="H48" s="1192"/>
      <c r="J48" s="1149"/>
      <c r="K48" s="1149"/>
      <c r="L48" s="1149"/>
      <c r="M48" s="1149"/>
      <c r="N48" s="1149"/>
      <c r="O48" s="1149"/>
      <c r="P48" s="1149"/>
      <c r="Q48" s="1190"/>
      <c r="R48" s="1190"/>
      <c r="S48" s="1149"/>
      <c r="T48" s="1149"/>
      <c r="U48" s="1149"/>
      <c r="V48" s="1150"/>
      <c r="W48" s="1149"/>
      <c r="Y48" s="1151"/>
    </row>
    <row r="49" spans="1:43" s="1152" customFormat="1">
      <c r="A49" s="1173" t="s">
        <v>144</v>
      </c>
      <c r="B49" s="1260" t="s">
        <v>145</v>
      </c>
      <c r="C49" s="1219" t="s">
        <v>1164</v>
      </c>
      <c r="D49" s="1219" t="s">
        <v>1165</v>
      </c>
      <c r="E49" s="1202"/>
      <c r="G49" s="1192"/>
      <c r="J49" s="1149"/>
      <c r="K49" s="1149"/>
      <c r="L49" s="1149"/>
      <c r="M49" s="1149"/>
      <c r="N49" s="1149"/>
      <c r="O49" s="1149"/>
      <c r="P49" s="1149"/>
      <c r="Q49" s="1190"/>
      <c r="R49" s="1190"/>
      <c r="S49" s="1149"/>
      <c r="T49" s="1149"/>
      <c r="U49" s="1149"/>
      <c r="V49" s="1150"/>
      <c r="W49" s="1149"/>
      <c r="Y49" s="1151"/>
    </row>
    <row r="50" spans="1:43" s="1152" customFormat="1">
      <c r="A50" s="1191">
        <f>'TAR_Tab 2_Volumina'!AC22</f>
        <v>301454</v>
      </c>
      <c r="B50" s="1267" t="str">
        <f>'TAR_Tab 2_Volumina'!AD22</f>
        <v>MAASVLAKTE Q16 ORANJE NASSAU (ONE)</v>
      </c>
      <c r="C50" s="1390"/>
      <c r="D50" s="1390"/>
      <c r="E50" s="1202"/>
      <c r="H50" s="1149"/>
      <c r="I50" s="1149"/>
      <c r="J50" s="1149"/>
      <c r="K50" s="1149"/>
      <c r="L50" s="1149"/>
      <c r="M50" s="1149"/>
      <c r="N50" s="1149"/>
      <c r="O50" s="1149"/>
      <c r="P50" s="1149"/>
      <c r="Q50" s="1190"/>
      <c r="R50" s="1190"/>
      <c r="S50" s="1149"/>
      <c r="U50" s="1149"/>
      <c r="V50" s="1151"/>
      <c r="W50" s="1150"/>
      <c r="X50" s="1151"/>
      <c r="Y50" s="1151"/>
    </row>
    <row r="51" spans="1:43" s="1152" customFormat="1">
      <c r="A51" s="1191">
        <f>'TAR_Tab 2_Volumina'!AC24</f>
        <v>301348</v>
      </c>
      <c r="B51" s="1267" t="str">
        <f>'TAR_Tab 2_Volumina'!AD24</f>
        <v>BERGERMEER (TAQA-UGS)</v>
      </c>
      <c r="C51" s="1390"/>
      <c r="D51" s="1390"/>
      <c r="E51" s="1202"/>
      <c r="W51" s="1159"/>
      <c r="X51" s="1151"/>
      <c r="Y51" s="1151"/>
    </row>
    <row r="52" spans="1:43" s="1152" customFormat="1">
      <c r="A52" s="1191">
        <f>'TAR_Tab 2_Volumina'!AC25</f>
        <v>301391</v>
      </c>
      <c r="B52" s="1267" t="str">
        <f>'TAR_Tab 2_Volumina'!AD25</f>
        <v>OUDE STATENZIJL (ASTORA JEMGUM)</v>
      </c>
      <c r="C52" s="1390"/>
      <c r="D52" s="1390"/>
      <c r="E52" s="1202"/>
      <c r="W52" s="1159"/>
      <c r="X52" s="1151"/>
      <c r="Y52" s="1151"/>
    </row>
    <row r="53" spans="1:43" s="1152" customFormat="1">
      <c r="B53" s="1193" t="s">
        <v>383</v>
      </c>
      <c r="C53" s="1388"/>
      <c r="D53" s="1388"/>
      <c r="E53" s="1149"/>
      <c r="G53" s="1149"/>
      <c r="H53" s="1192"/>
      <c r="I53" s="1149"/>
      <c r="J53" s="1149"/>
      <c r="K53" s="1149"/>
      <c r="L53" s="1149"/>
      <c r="N53" s="1149"/>
      <c r="O53" s="1149"/>
      <c r="P53" s="1149"/>
      <c r="Q53" s="1149"/>
      <c r="R53" s="1149"/>
      <c r="S53" s="1149"/>
      <c r="T53" s="1149"/>
      <c r="U53" s="1149"/>
      <c r="V53" s="1151"/>
      <c r="W53" s="1159"/>
    </row>
    <row r="54" spans="1:43" s="1152" customFormat="1">
      <c r="C54" s="1149"/>
      <c r="D54" s="1149"/>
      <c r="E54" s="1149"/>
      <c r="F54" s="1149"/>
      <c r="G54" s="1149"/>
      <c r="H54" s="1192"/>
      <c r="I54" s="1149"/>
      <c r="J54" s="1149"/>
      <c r="K54" s="1149"/>
      <c r="L54" s="1149"/>
      <c r="N54" s="1149"/>
      <c r="O54" s="1149"/>
      <c r="P54" s="1149"/>
      <c r="Q54" s="1149"/>
      <c r="R54" s="1149"/>
      <c r="S54" s="1149"/>
      <c r="T54" s="1149"/>
      <c r="U54" s="1149"/>
      <c r="V54" s="1151"/>
      <c r="W54" s="1159"/>
    </row>
    <row r="55" spans="1:43" s="1152" customFormat="1">
      <c r="A55" s="1186"/>
      <c r="B55" s="1149"/>
      <c r="C55" s="1149"/>
      <c r="D55" s="1149"/>
      <c r="E55" s="1149"/>
      <c r="F55" s="1149"/>
      <c r="G55" s="1149"/>
      <c r="H55" s="1149"/>
      <c r="I55" s="1149"/>
      <c r="J55" s="403"/>
      <c r="K55" s="403"/>
      <c r="L55" s="403"/>
      <c r="M55" s="403"/>
      <c r="N55" s="1149"/>
      <c r="O55" s="1149"/>
      <c r="P55" s="1149"/>
      <c r="Q55" s="1149"/>
      <c r="R55" s="1149"/>
      <c r="S55" s="1149"/>
      <c r="T55" s="1149"/>
      <c r="U55" s="1149"/>
      <c r="V55" s="1151"/>
      <c r="W55" s="1150"/>
      <c r="X55" s="1151"/>
      <c r="Y55" s="1151"/>
    </row>
    <row r="56" spans="1:43" s="1152" customFormat="1">
      <c r="A56" s="412" t="s">
        <v>1099</v>
      </c>
      <c r="B56" s="1185" t="s">
        <v>1191</v>
      </c>
      <c r="C56" s="1196"/>
      <c r="D56" s="1196"/>
      <c r="E56" s="1196"/>
      <c r="F56" s="1196"/>
      <c r="G56" s="1196"/>
      <c r="H56" s="1196"/>
      <c r="I56" s="1196"/>
      <c r="J56" s="403"/>
      <c r="K56" s="403"/>
      <c r="L56" s="403"/>
      <c r="M56" s="403"/>
      <c r="N56" s="1162"/>
      <c r="O56" s="1162"/>
      <c r="P56" s="1162"/>
      <c r="Q56" s="1162"/>
      <c r="R56" s="1162"/>
      <c r="S56" s="1162"/>
      <c r="T56" s="1162"/>
      <c r="U56" s="1162"/>
      <c r="W56" s="1159"/>
    </row>
    <row r="57" spans="1:43" s="1152" customFormat="1">
      <c r="A57" s="1197" t="str">
        <f>B29</f>
        <v>MAASVLAKTE Q16 ORANJE NASSAU (ONE)</v>
      </c>
      <c r="B57" s="1198" t="s">
        <v>501</v>
      </c>
      <c r="C57" s="1198" t="s">
        <v>502</v>
      </c>
      <c r="D57" s="1198" t="s">
        <v>503</v>
      </c>
      <c r="E57" s="1198" t="s">
        <v>5</v>
      </c>
      <c r="F57" s="1198" t="s">
        <v>504</v>
      </c>
      <c r="G57" s="1198" t="s">
        <v>505</v>
      </c>
      <c r="H57" s="1198" t="s">
        <v>506</v>
      </c>
      <c r="I57" s="1185" t="s">
        <v>661</v>
      </c>
      <c r="J57" s="1194"/>
      <c r="K57" s="1194"/>
      <c r="L57" s="1194"/>
      <c r="M57" s="1194"/>
      <c r="N57" s="1155"/>
      <c r="O57" s="1155"/>
      <c r="P57" s="1155"/>
      <c r="Q57" s="1155"/>
      <c r="R57" s="1155"/>
      <c r="S57" s="1155"/>
      <c r="T57" s="1155"/>
      <c r="U57" s="1155"/>
      <c r="V57" s="1155"/>
      <c r="W57" s="1157"/>
      <c r="X57" s="1155"/>
      <c r="Y57" s="1155"/>
      <c r="Z57" s="1162"/>
      <c r="AA57" s="1162"/>
      <c r="AB57" s="1162"/>
      <c r="AC57" s="1162"/>
      <c r="AD57" s="1162"/>
      <c r="AE57" s="1162"/>
      <c r="AF57" s="1162"/>
      <c r="AG57" s="1162"/>
      <c r="AH57" s="1162"/>
      <c r="AI57" s="1162"/>
      <c r="AJ57" s="1162"/>
      <c r="AK57" s="1162"/>
      <c r="AL57" s="1162"/>
      <c r="AM57" s="1162"/>
      <c r="AN57" s="1162"/>
      <c r="AO57" s="1162"/>
      <c r="AP57" s="1162"/>
    </row>
    <row r="58" spans="1:43" s="1152" customFormat="1">
      <c r="A58" s="1195">
        <v>2013</v>
      </c>
      <c r="B58" s="1387"/>
      <c r="C58" s="1359"/>
      <c r="D58" s="1390"/>
      <c r="E58" s="1384"/>
      <c r="F58" s="1390"/>
      <c r="G58" s="1390"/>
      <c r="H58" s="1390"/>
      <c r="I58" s="1390"/>
      <c r="J58" s="1194"/>
      <c r="K58" s="1194"/>
      <c r="L58" s="1194"/>
      <c r="M58" s="1194"/>
      <c r="N58" s="1155"/>
      <c r="O58" s="1155"/>
      <c r="P58" s="1155"/>
      <c r="Q58" s="1155"/>
      <c r="R58" s="1155"/>
      <c r="S58" s="1155"/>
      <c r="T58" s="1155"/>
      <c r="U58" s="1155"/>
      <c r="V58" s="1155"/>
      <c r="W58" s="1157"/>
      <c r="X58" s="1155"/>
      <c r="Y58" s="1155"/>
      <c r="Z58" s="1162"/>
      <c r="AA58" s="1162"/>
      <c r="AB58" s="1162"/>
      <c r="AC58" s="1162"/>
      <c r="AD58" s="1162"/>
      <c r="AE58" s="1162"/>
      <c r="AF58" s="1162"/>
      <c r="AG58" s="1162"/>
      <c r="AH58" s="1162"/>
      <c r="AI58" s="1162"/>
      <c r="AJ58" s="1162"/>
      <c r="AK58" s="1162"/>
      <c r="AL58" s="1162"/>
      <c r="AM58" s="1162"/>
      <c r="AN58" s="1162"/>
      <c r="AO58" s="1162"/>
      <c r="AP58" s="1162"/>
    </row>
    <row r="59" spans="1:43" s="1152" customFormat="1">
      <c r="A59" s="1199">
        <v>2014</v>
      </c>
      <c r="B59" s="1359"/>
      <c r="C59" s="1359"/>
      <c r="D59" s="1390"/>
      <c r="E59" s="1384"/>
      <c r="F59" s="1390"/>
      <c r="G59" s="1390"/>
      <c r="H59" s="1390"/>
      <c r="I59" s="1390"/>
      <c r="J59" s="111"/>
      <c r="K59" s="111"/>
      <c r="L59" s="111"/>
      <c r="M59" s="111"/>
      <c r="N59" s="1149"/>
      <c r="O59" s="1149"/>
      <c r="P59" s="1149"/>
      <c r="Q59" s="1149"/>
      <c r="R59" s="1149"/>
      <c r="S59" s="1149"/>
      <c r="T59" s="1149"/>
      <c r="U59" s="1149"/>
      <c r="V59" s="1151"/>
      <c r="W59" s="1150"/>
      <c r="X59" s="1151"/>
      <c r="Y59" s="1151"/>
      <c r="AQ59" s="1162"/>
    </row>
    <row r="60" spans="1:43" s="1152" customFormat="1">
      <c r="A60" s="1200">
        <v>2015</v>
      </c>
      <c r="B60" s="1359"/>
      <c r="C60" s="1359"/>
      <c r="D60" s="1390"/>
      <c r="E60" s="1384"/>
      <c r="F60" s="1390"/>
      <c r="G60" s="1390"/>
      <c r="H60" s="1390"/>
      <c r="I60" s="1390"/>
      <c r="J60" s="111"/>
      <c r="K60" s="111"/>
      <c r="L60" s="111"/>
      <c r="M60" s="111"/>
      <c r="N60" s="1149"/>
      <c r="O60" s="1149"/>
      <c r="P60" s="1149"/>
      <c r="Q60" s="1149"/>
      <c r="R60" s="1149"/>
      <c r="S60" s="1149"/>
      <c r="T60" s="1149"/>
      <c r="U60" s="1149"/>
      <c r="V60" s="1151"/>
      <c r="W60" s="1150"/>
      <c r="X60" s="1151"/>
      <c r="Y60" s="1151"/>
    </row>
    <row r="61" spans="1:43" s="1152" customFormat="1">
      <c r="A61" s="1195">
        <v>2016</v>
      </c>
      <c r="B61" s="1359"/>
      <c r="C61" s="1359"/>
      <c r="D61" s="1390"/>
      <c r="E61" s="1384"/>
      <c r="F61" s="1390"/>
      <c r="G61" s="1390"/>
      <c r="H61" s="1390"/>
      <c r="I61" s="1390"/>
      <c r="J61" s="111"/>
      <c r="K61" s="111"/>
      <c r="L61" s="111"/>
      <c r="M61" s="111"/>
      <c r="N61" s="1149"/>
      <c r="O61" s="1149"/>
      <c r="P61" s="1149"/>
      <c r="Q61" s="1149"/>
      <c r="R61" s="1149"/>
      <c r="S61" s="1149"/>
      <c r="T61" s="1149"/>
      <c r="U61" s="1149"/>
      <c r="V61" s="1151"/>
      <c r="W61" s="1150"/>
      <c r="X61" s="1151"/>
      <c r="Y61" s="1151"/>
    </row>
    <row r="62" spans="1:43" s="1152" customFormat="1">
      <c r="A62" s="403"/>
      <c r="B62" s="1161"/>
      <c r="C62" s="1161"/>
      <c r="D62" s="1163"/>
      <c r="E62" s="1204"/>
      <c r="F62" s="1163"/>
      <c r="G62" s="1163"/>
      <c r="H62" s="1163"/>
      <c r="I62" s="1163"/>
      <c r="J62" s="111"/>
      <c r="K62" s="111"/>
      <c r="L62" s="111"/>
      <c r="M62" s="111"/>
      <c r="N62" s="1149"/>
      <c r="O62" s="1149"/>
      <c r="P62" s="1149"/>
      <c r="Q62" s="1149"/>
      <c r="R62" s="1149"/>
      <c r="S62" s="1149"/>
      <c r="T62" s="1149"/>
      <c r="U62" s="1149"/>
      <c r="V62" s="1151"/>
      <c r="W62" s="1150"/>
      <c r="X62" s="1151"/>
      <c r="Y62" s="1151"/>
    </row>
    <row r="63" spans="1:43" s="1152" customFormat="1">
      <c r="A63" s="412" t="s">
        <v>1099</v>
      </c>
      <c r="B63" s="1185" t="s">
        <v>1191</v>
      </c>
      <c r="C63" s="1196"/>
      <c r="D63" s="1196"/>
      <c r="E63" s="1196"/>
      <c r="F63" s="1196"/>
      <c r="G63" s="1196"/>
      <c r="H63" s="1196"/>
      <c r="I63" s="1196"/>
      <c r="J63" s="111"/>
      <c r="K63" s="111"/>
      <c r="L63" s="111"/>
      <c r="M63" s="111"/>
      <c r="N63" s="1149"/>
      <c r="O63" s="1149"/>
      <c r="P63" s="1149"/>
      <c r="Q63" s="1149"/>
      <c r="R63" s="1149"/>
      <c r="S63" s="1149"/>
      <c r="T63" s="1149"/>
      <c r="U63" s="1149"/>
      <c r="V63" s="1151"/>
      <c r="W63" s="1150"/>
      <c r="X63" s="1151"/>
      <c r="Y63" s="1151"/>
    </row>
    <row r="64" spans="1:43" s="1152" customFormat="1">
      <c r="A64" s="1197" t="str">
        <f>A57</f>
        <v>MAASVLAKTE Q16 ORANJE NASSAU (ONE)</v>
      </c>
      <c r="B64" s="1198" t="s">
        <v>501</v>
      </c>
      <c r="C64" s="1198" t="s">
        <v>502</v>
      </c>
      <c r="D64" s="1198" t="s">
        <v>503</v>
      </c>
      <c r="E64" s="1198" t="s">
        <v>5</v>
      </c>
      <c r="F64" s="1198" t="s">
        <v>504</v>
      </c>
      <c r="G64" s="1198" t="s">
        <v>505</v>
      </c>
      <c r="H64" s="1198" t="s">
        <v>506</v>
      </c>
      <c r="I64" s="1185" t="s">
        <v>661</v>
      </c>
      <c r="J64" s="111"/>
      <c r="K64" s="111"/>
      <c r="L64" s="111"/>
      <c r="M64" s="111"/>
      <c r="N64" s="1149"/>
      <c r="O64" s="1149"/>
      <c r="P64" s="1149"/>
      <c r="Q64" s="1149"/>
      <c r="R64" s="1149"/>
      <c r="S64" s="1149"/>
      <c r="T64" s="1149"/>
      <c r="U64" s="1149"/>
      <c r="V64" s="1151"/>
      <c r="W64" s="1150"/>
      <c r="X64" s="1151"/>
      <c r="Y64" s="1151"/>
    </row>
    <row r="65" spans="1:25" s="1152" customFormat="1">
      <c r="A65" s="1195">
        <v>2013</v>
      </c>
      <c r="B65" s="1387"/>
      <c r="C65" s="1359"/>
      <c r="D65" s="1390"/>
      <c r="E65" s="1384"/>
      <c r="F65" s="1390"/>
      <c r="G65" s="1390"/>
      <c r="H65" s="1390"/>
      <c r="I65" s="1390"/>
      <c r="J65" s="111"/>
      <c r="K65" s="111"/>
      <c r="L65" s="111"/>
      <c r="M65" s="111"/>
      <c r="N65" s="1149"/>
      <c r="O65" s="1149"/>
      <c r="P65" s="1149"/>
      <c r="Q65" s="1149"/>
      <c r="R65" s="1149"/>
      <c r="S65" s="1149"/>
      <c r="T65" s="1149"/>
      <c r="U65" s="1149"/>
      <c r="V65" s="1151"/>
      <c r="W65" s="1150"/>
      <c r="X65" s="1151"/>
      <c r="Y65" s="1151"/>
    </row>
    <row r="66" spans="1:25" s="1152" customFormat="1">
      <c r="A66" s="1199">
        <v>2014</v>
      </c>
      <c r="B66" s="1359"/>
      <c r="C66" s="1359"/>
      <c r="D66" s="1390"/>
      <c r="E66" s="1384"/>
      <c r="F66" s="1390"/>
      <c r="G66" s="1390"/>
      <c r="H66" s="1390"/>
      <c r="I66" s="1390"/>
      <c r="J66" s="111"/>
      <c r="K66" s="111"/>
      <c r="L66" s="111"/>
      <c r="M66" s="111"/>
      <c r="N66" s="1149"/>
      <c r="O66" s="1149"/>
      <c r="P66" s="1149"/>
      <c r="Q66" s="1149"/>
      <c r="R66" s="1149"/>
      <c r="S66" s="1149"/>
      <c r="T66" s="1149"/>
      <c r="U66" s="1149"/>
      <c r="V66" s="1151"/>
      <c r="W66" s="1150"/>
      <c r="X66" s="1151"/>
      <c r="Y66" s="1151"/>
    </row>
    <row r="67" spans="1:25" s="1152" customFormat="1">
      <c r="A67" s="1200">
        <v>2015</v>
      </c>
      <c r="B67" s="1359"/>
      <c r="C67" s="1359"/>
      <c r="D67" s="1390"/>
      <c r="E67" s="1384"/>
      <c r="F67" s="1390"/>
      <c r="G67" s="1390"/>
      <c r="H67" s="1390"/>
      <c r="I67" s="1390"/>
      <c r="J67" s="111"/>
      <c r="K67" s="111"/>
      <c r="L67" s="111"/>
      <c r="M67" s="111"/>
      <c r="N67" s="1149"/>
      <c r="O67" s="1149"/>
      <c r="P67" s="1149"/>
      <c r="Q67" s="1149"/>
      <c r="R67" s="1149"/>
      <c r="S67" s="1149"/>
      <c r="T67" s="1149"/>
      <c r="U67" s="1149"/>
      <c r="V67" s="1151"/>
      <c r="W67" s="1150"/>
      <c r="X67" s="1151"/>
      <c r="Y67" s="1151"/>
    </row>
    <row r="68" spans="1:25" s="1152" customFormat="1">
      <c r="A68" s="1195">
        <v>2016</v>
      </c>
      <c r="B68" s="1359"/>
      <c r="C68" s="1359"/>
      <c r="D68" s="1390"/>
      <c r="E68" s="1384"/>
      <c r="F68" s="1390"/>
      <c r="G68" s="1390"/>
      <c r="H68" s="1390"/>
      <c r="I68" s="1390"/>
      <c r="J68" s="111"/>
      <c r="K68" s="111"/>
      <c r="L68" s="111"/>
      <c r="M68" s="111"/>
      <c r="N68" s="1149"/>
      <c r="O68" s="1149"/>
      <c r="P68" s="1149"/>
      <c r="Q68" s="1149"/>
      <c r="R68" s="1149"/>
      <c r="S68" s="1149"/>
      <c r="T68" s="1149"/>
      <c r="U68" s="1149"/>
      <c r="V68" s="1151"/>
      <c r="W68" s="1150"/>
      <c r="X68" s="1151"/>
      <c r="Y68" s="1151"/>
    </row>
    <row r="69" spans="1:25" s="1152" customFormat="1">
      <c r="A69" s="403"/>
      <c r="B69" s="403"/>
      <c r="C69" s="403"/>
      <c r="D69" s="403"/>
      <c r="E69" s="403"/>
      <c r="F69" s="403"/>
      <c r="G69" s="403"/>
      <c r="H69" s="403"/>
      <c r="I69" s="403"/>
      <c r="J69" s="111"/>
      <c r="K69" s="111"/>
      <c r="L69" s="111"/>
      <c r="M69" s="111"/>
      <c r="N69" s="1149"/>
      <c r="O69" s="1149"/>
      <c r="P69" s="1149"/>
      <c r="Q69" s="1149"/>
      <c r="R69" s="1149"/>
      <c r="S69" s="1149"/>
      <c r="T69" s="1149"/>
      <c r="U69" s="1149"/>
      <c r="V69" s="1151"/>
      <c r="W69" s="1150"/>
      <c r="X69" s="1151"/>
      <c r="Y69" s="1151"/>
    </row>
    <row r="70" spans="1:25" s="1152" customFormat="1">
      <c r="A70" s="412" t="s">
        <v>1099</v>
      </c>
      <c r="B70" s="1185" t="s">
        <v>1191</v>
      </c>
      <c r="C70" s="1196"/>
      <c r="D70" s="1196"/>
      <c r="E70" s="1196"/>
      <c r="F70" s="1196"/>
      <c r="G70" s="1196"/>
      <c r="H70" s="1196"/>
      <c r="I70" s="1196"/>
      <c r="J70" s="111"/>
      <c r="K70" s="111"/>
      <c r="L70" s="111"/>
      <c r="M70" s="111"/>
      <c r="N70" s="1149"/>
      <c r="O70" s="1149"/>
      <c r="P70" s="1149"/>
      <c r="Q70" s="1149"/>
      <c r="R70" s="1149"/>
      <c r="S70" s="1149"/>
      <c r="T70" s="1149"/>
      <c r="U70" s="1149"/>
      <c r="V70" s="1151"/>
      <c r="W70" s="1150"/>
      <c r="X70" s="1151"/>
      <c r="Y70" s="1151"/>
    </row>
    <row r="71" spans="1:25" s="1152" customFormat="1">
      <c r="A71" s="1197" t="str">
        <f>A57</f>
        <v>MAASVLAKTE Q16 ORANJE NASSAU (ONE)</v>
      </c>
      <c r="B71" s="1198" t="s">
        <v>501</v>
      </c>
      <c r="C71" s="1198" t="s">
        <v>502</v>
      </c>
      <c r="D71" s="1198" t="s">
        <v>503</v>
      </c>
      <c r="E71" s="1198" t="s">
        <v>5</v>
      </c>
      <c r="F71" s="1198" t="s">
        <v>504</v>
      </c>
      <c r="G71" s="1198" t="s">
        <v>505</v>
      </c>
      <c r="H71" s="1198" t="s">
        <v>506</v>
      </c>
      <c r="I71" s="1185" t="s">
        <v>661</v>
      </c>
      <c r="J71" s="111"/>
      <c r="K71" s="111"/>
      <c r="L71" s="111"/>
      <c r="M71" s="111"/>
      <c r="N71" s="1149"/>
      <c r="O71" s="1149"/>
      <c r="P71" s="1149"/>
      <c r="Q71" s="1149"/>
      <c r="R71" s="1149"/>
      <c r="S71" s="1149"/>
      <c r="T71" s="1149"/>
      <c r="U71" s="1149"/>
      <c r="V71" s="1151"/>
      <c r="W71" s="1150"/>
      <c r="X71" s="1151"/>
      <c r="Y71" s="1151"/>
    </row>
    <row r="72" spans="1:25" s="1152" customFormat="1">
      <c r="A72" s="1195">
        <v>2013</v>
      </c>
      <c r="B72" s="1387"/>
      <c r="C72" s="1359"/>
      <c r="D72" s="1390"/>
      <c r="E72" s="1384"/>
      <c r="F72" s="1390"/>
      <c r="G72" s="1390"/>
      <c r="H72" s="1390"/>
      <c r="I72" s="1390"/>
      <c r="J72" s="111"/>
      <c r="K72" s="111"/>
      <c r="L72" s="111"/>
      <c r="M72" s="111"/>
      <c r="N72" s="1149"/>
      <c r="O72" s="1149"/>
      <c r="P72" s="1149"/>
      <c r="Q72" s="1149"/>
      <c r="R72" s="1149"/>
      <c r="S72" s="1149"/>
      <c r="T72" s="1149"/>
      <c r="U72" s="1149"/>
      <c r="V72" s="1151"/>
      <c r="W72" s="1150"/>
      <c r="X72" s="1151"/>
      <c r="Y72" s="1151"/>
    </row>
    <row r="73" spans="1:25" s="1152" customFormat="1">
      <c r="A73" s="1199">
        <v>2014</v>
      </c>
      <c r="B73" s="1359"/>
      <c r="C73" s="1359"/>
      <c r="D73" s="1390"/>
      <c r="E73" s="1384"/>
      <c r="F73" s="1390"/>
      <c r="G73" s="1390"/>
      <c r="H73" s="1390"/>
      <c r="I73" s="1390"/>
      <c r="J73" s="111"/>
      <c r="K73" s="111"/>
      <c r="L73" s="111"/>
      <c r="M73" s="111"/>
      <c r="N73" s="1149"/>
      <c r="O73" s="1149"/>
      <c r="P73" s="1149"/>
      <c r="Q73" s="1149"/>
      <c r="R73" s="1149"/>
      <c r="S73" s="1149"/>
      <c r="T73" s="1149"/>
      <c r="U73" s="1149"/>
      <c r="V73" s="1151"/>
      <c r="W73" s="1150"/>
      <c r="X73" s="1151"/>
      <c r="Y73" s="1151"/>
    </row>
    <row r="74" spans="1:25" s="1152" customFormat="1">
      <c r="A74" s="1200">
        <v>2015</v>
      </c>
      <c r="B74" s="1359"/>
      <c r="C74" s="1359"/>
      <c r="D74" s="1390"/>
      <c r="E74" s="1384"/>
      <c r="F74" s="1390"/>
      <c r="G74" s="1390"/>
      <c r="H74" s="1390"/>
      <c r="I74" s="1390"/>
      <c r="J74" s="111"/>
      <c r="K74" s="111"/>
      <c r="L74" s="111"/>
      <c r="M74" s="111"/>
      <c r="N74" s="1149"/>
      <c r="O74" s="1149"/>
      <c r="P74" s="1149"/>
      <c r="Q74" s="1149"/>
      <c r="R74" s="1149"/>
      <c r="S74" s="1149"/>
      <c r="T74" s="1149"/>
      <c r="U74" s="1149"/>
      <c r="V74" s="1151"/>
      <c r="W74" s="1150"/>
      <c r="X74" s="1151"/>
      <c r="Y74" s="1151"/>
    </row>
    <row r="75" spans="1:25" s="1152" customFormat="1">
      <c r="A75" s="1195">
        <v>2016</v>
      </c>
      <c r="B75" s="1359"/>
      <c r="C75" s="1359"/>
      <c r="D75" s="1390"/>
      <c r="E75" s="1384"/>
      <c r="F75" s="1390"/>
      <c r="G75" s="1390"/>
      <c r="H75" s="1390"/>
      <c r="I75" s="1390"/>
      <c r="J75" s="111"/>
      <c r="K75" s="111"/>
      <c r="L75" s="111"/>
      <c r="M75" s="111"/>
      <c r="N75" s="1149"/>
      <c r="O75" s="1149"/>
      <c r="P75" s="1149"/>
      <c r="Q75" s="1149"/>
      <c r="R75" s="1149"/>
      <c r="S75" s="1149"/>
      <c r="T75" s="1149"/>
      <c r="U75" s="1149"/>
      <c r="V75" s="1151"/>
      <c r="W75" s="1150"/>
      <c r="X75" s="1151"/>
      <c r="Y75" s="1151"/>
    </row>
    <row r="76" spans="1:25" s="1152" customFormat="1">
      <c r="A76" s="1186"/>
      <c r="B76" s="1149"/>
      <c r="C76" s="1149"/>
      <c r="D76" s="1149"/>
      <c r="E76" s="1149"/>
      <c r="F76" s="1149"/>
      <c r="G76" s="1149"/>
      <c r="H76" s="1149"/>
      <c r="I76" s="1149"/>
      <c r="J76" s="403"/>
      <c r="K76" s="403"/>
      <c r="L76" s="403"/>
      <c r="M76" s="403"/>
      <c r="N76" s="1149"/>
      <c r="O76" s="1149"/>
      <c r="P76" s="1149"/>
      <c r="Q76" s="1149"/>
      <c r="R76" s="1149"/>
      <c r="S76" s="1149"/>
      <c r="T76" s="1149"/>
      <c r="U76" s="1149"/>
      <c r="V76" s="1151"/>
      <c r="W76" s="1150"/>
      <c r="X76" s="1151"/>
      <c r="Y76" s="1151"/>
    </row>
    <row r="77" spans="1:25" s="1152" customFormat="1">
      <c r="A77" s="412" t="s">
        <v>1099</v>
      </c>
      <c r="B77" s="1185" t="s">
        <v>1191</v>
      </c>
      <c r="C77" s="1196"/>
      <c r="D77" s="1196"/>
      <c r="E77" s="1196"/>
      <c r="F77" s="1196"/>
      <c r="G77" s="1196"/>
      <c r="H77" s="1196"/>
      <c r="I77" s="1196"/>
      <c r="J77" s="111"/>
      <c r="K77" s="111"/>
      <c r="L77" s="111"/>
      <c r="M77" s="111"/>
      <c r="N77" s="1149"/>
      <c r="O77" s="1149"/>
      <c r="P77" s="1149"/>
      <c r="Q77" s="1149"/>
      <c r="R77" s="1149"/>
      <c r="S77" s="1149"/>
      <c r="T77" s="1149"/>
      <c r="U77" s="1149"/>
      <c r="V77" s="1151"/>
      <c r="W77" s="1150"/>
      <c r="X77" s="1151"/>
      <c r="Y77" s="1151"/>
    </row>
    <row r="78" spans="1:25" s="1152" customFormat="1">
      <c r="A78" s="1197" t="str">
        <f>A57</f>
        <v>MAASVLAKTE Q16 ORANJE NASSAU (ONE)</v>
      </c>
      <c r="B78" s="1198" t="s">
        <v>501</v>
      </c>
      <c r="C78" s="1198" t="s">
        <v>502</v>
      </c>
      <c r="D78" s="1198" t="s">
        <v>503</v>
      </c>
      <c r="E78" s="1198" t="s">
        <v>5</v>
      </c>
      <c r="F78" s="1198" t="s">
        <v>504</v>
      </c>
      <c r="G78" s="1198" t="s">
        <v>505</v>
      </c>
      <c r="H78" s="1198" t="s">
        <v>506</v>
      </c>
      <c r="I78" s="1185" t="s">
        <v>661</v>
      </c>
      <c r="J78" s="111"/>
      <c r="K78" s="111"/>
      <c r="L78" s="111"/>
      <c r="M78" s="111"/>
      <c r="N78" s="1149"/>
      <c r="O78" s="1149"/>
      <c r="P78" s="1149"/>
      <c r="Q78" s="1149"/>
      <c r="R78" s="1149"/>
      <c r="S78" s="1149"/>
      <c r="T78" s="1149"/>
      <c r="U78" s="1149"/>
      <c r="V78" s="1151"/>
      <c r="W78" s="1150"/>
      <c r="X78" s="1151"/>
      <c r="Y78" s="1151"/>
    </row>
    <row r="79" spans="1:25" s="1152" customFormat="1">
      <c r="A79" s="1195">
        <v>2013</v>
      </c>
      <c r="B79" s="1387"/>
      <c r="C79" s="1359"/>
      <c r="D79" s="1390"/>
      <c r="E79" s="1384"/>
      <c r="F79" s="1390"/>
      <c r="G79" s="1390"/>
      <c r="H79" s="1390"/>
      <c r="I79" s="1390"/>
      <c r="J79" s="111"/>
      <c r="K79" s="111"/>
      <c r="L79" s="111"/>
      <c r="M79" s="111"/>
      <c r="N79" s="1149"/>
      <c r="O79" s="1149"/>
      <c r="P79" s="1149"/>
      <c r="Q79" s="1149"/>
      <c r="R79" s="1149"/>
      <c r="S79" s="1149"/>
      <c r="T79" s="1149"/>
      <c r="U79" s="1149"/>
      <c r="V79" s="1151"/>
      <c r="W79" s="1150"/>
      <c r="X79" s="1151"/>
      <c r="Y79" s="1151"/>
    </row>
    <row r="80" spans="1:25" s="1152" customFormat="1">
      <c r="A80" s="1199">
        <v>2014</v>
      </c>
      <c r="B80" s="1359"/>
      <c r="C80" s="1359"/>
      <c r="D80" s="1390"/>
      <c r="E80" s="1384"/>
      <c r="F80" s="1390"/>
      <c r="G80" s="1390"/>
      <c r="H80" s="1390"/>
      <c r="I80" s="1390"/>
      <c r="J80" s="111"/>
      <c r="K80" s="111"/>
      <c r="L80" s="111"/>
      <c r="M80" s="111"/>
      <c r="N80" s="1149"/>
      <c r="O80" s="1149"/>
      <c r="P80" s="1149"/>
      <c r="Q80" s="1149"/>
      <c r="R80" s="1149"/>
      <c r="S80" s="1149"/>
      <c r="T80" s="1149"/>
      <c r="U80" s="1149"/>
      <c r="V80" s="1151"/>
      <c r="W80" s="1150"/>
      <c r="X80" s="1151"/>
      <c r="Y80" s="1151"/>
    </row>
    <row r="81" spans="1:43" s="1152" customFormat="1">
      <c r="A81" s="1200">
        <v>2015</v>
      </c>
      <c r="B81" s="1359"/>
      <c r="C81" s="1359"/>
      <c r="D81" s="1390"/>
      <c r="E81" s="1384"/>
      <c r="F81" s="1390"/>
      <c r="G81" s="1390"/>
      <c r="H81" s="1390"/>
      <c r="I81" s="1390"/>
      <c r="J81" s="111"/>
      <c r="K81" s="111"/>
      <c r="L81" s="111"/>
      <c r="M81" s="111"/>
      <c r="N81" s="1149"/>
      <c r="O81" s="1149"/>
      <c r="P81" s="1149"/>
      <c r="Q81" s="1149"/>
      <c r="R81" s="1149"/>
      <c r="S81" s="1149"/>
      <c r="T81" s="1149"/>
      <c r="U81" s="1149"/>
      <c r="V81" s="1151"/>
      <c r="W81" s="1150"/>
      <c r="X81" s="1151"/>
      <c r="Y81" s="1151"/>
    </row>
    <row r="82" spans="1:43" s="1152" customFormat="1">
      <c r="A82" s="1195">
        <v>2016</v>
      </c>
      <c r="B82" s="1359"/>
      <c r="C82" s="1359"/>
      <c r="D82" s="1390"/>
      <c r="E82" s="1384"/>
      <c r="F82" s="1390"/>
      <c r="G82" s="1390"/>
      <c r="H82" s="1390"/>
      <c r="I82" s="1390"/>
      <c r="J82" s="111"/>
      <c r="K82" s="111"/>
      <c r="L82" s="111"/>
      <c r="M82" s="111"/>
      <c r="N82" s="1149"/>
      <c r="O82" s="1149"/>
      <c r="P82" s="1149"/>
      <c r="Q82" s="1149"/>
      <c r="R82" s="1149"/>
      <c r="S82" s="1149"/>
      <c r="T82" s="1149"/>
      <c r="U82" s="1149"/>
      <c r="V82" s="1151"/>
      <c r="W82" s="1150"/>
      <c r="X82" s="1151"/>
      <c r="Y82" s="1151"/>
    </row>
    <row r="83" spans="1:43" s="1152" customFormat="1">
      <c r="A83" s="1186"/>
      <c r="B83" s="1149"/>
      <c r="C83" s="1149"/>
      <c r="D83" s="1149"/>
      <c r="E83" s="1149"/>
      <c r="F83" s="1149"/>
      <c r="G83" s="1149"/>
      <c r="H83" s="1149"/>
      <c r="I83" s="1149"/>
      <c r="J83" s="403"/>
      <c r="K83" s="403"/>
      <c r="L83" s="403"/>
      <c r="M83" s="403"/>
      <c r="N83" s="1149"/>
      <c r="O83" s="1149"/>
      <c r="P83" s="1149"/>
      <c r="Q83" s="1149"/>
      <c r="R83" s="1149"/>
      <c r="S83" s="1149"/>
      <c r="T83" s="1149"/>
      <c r="U83" s="1149"/>
      <c r="V83" s="1151"/>
      <c r="W83" s="1150"/>
      <c r="X83" s="1151"/>
      <c r="Y83" s="1151"/>
    </row>
    <row r="84" spans="1:43" s="1152" customFormat="1">
      <c r="A84" s="412" t="s">
        <v>1099</v>
      </c>
      <c r="B84" s="1185" t="s">
        <v>1192</v>
      </c>
      <c r="C84" s="1196"/>
      <c r="D84" s="1196"/>
      <c r="E84" s="1196"/>
      <c r="F84" s="1196"/>
      <c r="G84" s="1196"/>
      <c r="H84" s="1196"/>
      <c r="I84" s="1196"/>
      <c r="J84" s="403"/>
      <c r="K84" s="403"/>
      <c r="L84" s="403"/>
      <c r="M84" s="403"/>
      <c r="N84" s="1162"/>
      <c r="O84" s="1162"/>
      <c r="P84" s="1162"/>
      <c r="Q84" s="1162"/>
      <c r="R84" s="1162"/>
      <c r="S84" s="1162"/>
      <c r="T84" s="1162"/>
      <c r="U84" s="1162"/>
      <c r="W84" s="1159"/>
    </row>
    <row r="85" spans="1:43" s="1152" customFormat="1">
      <c r="A85" s="1197" t="str">
        <f>B33</f>
        <v>BERGERMEER (TAQA-UGS)</v>
      </c>
      <c r="B85" s="1198" t="s">
        <v>501</v>
      </c>
      <c r="C85" s="1198" t="s">
        <v>502</v>
      </c>
      <c r="D85" s="1198" t="s">
        <v>503</v>
      </c>
      <c r="E85" s="1198" t="s">
        <v>5</v>
      </c>
      <c r="F85" s="1198" t="s">
        <v>504</v>
      </c>
      <c r="G85" s="1198" t="s">
        <v>505</v>
      </c>
      <c r="H85" s="1198" t="s">
        <v>506</v>
      </c>
      <c r="I85" s="1185" t="s">
        <v>661</v>
      </c>
      <c r="J85" s="1194"/>
      <c r="K85" s="1194"/>
      <c r="L85" s="1194"/>
      <c r="M85" s="1194"/>
      <c r="N85" s="1155"/>
      <c r="O85" s="1155"/>
      <c r="P85" s="1155"/>
      <c r="Q85" s="1155"/>
      <c r="R85" s="1155"/>
      <c r="S85" s="1155"/>
      <c r="T85" s="1155"/>
      <c r="U85" s="1155"/>
      <c r="V85" s="1155"/>
      <c r="W85" s="1157"/>
      <c r="X85" s="1155"/>
      <c r="Y85" s="1155"/>
      <c r="Z85" s="1162"/>
      <c r="AA85" s="1162"/>
      <c r="AB85" s="1162"/>
      <c r="AC85" s="1162"/>
      <c r="AD85" s="1162"/>
      <c r="AE85" s="1162"/>
      <c r="AF85" s="1162"/>
      <c r="AG85" s="1162"/>
      <c r="AH85" s="1162"/>
      <c r="AI85" s="1162"/>
      <c r="AJ85" s="1162"/>
      <c r="AK85" s="1162"/>
      <c r="AL85" s="1162"/>
      <c r="AM85" s="1162"/>
      <c r="AN85" s="1162"/>
      <c r="AO85" s="1162"/>
      <c r="AP85" s="1162"/>
    </row>
    <row r="86" spans="1:43" s="1152" customFormat="1">
      <c r="A86" s="1195">
        <v>2013</v>
      </c>
      <c r="B86" s="1387"/>
      <c r="C86" s="1359"/>
      <c r="D86" s="1390"/>
      <c r="E86" s="1384"/>
      <c r="F86" s="1390"/>
      <c r="G86" s="1390"/>
      <c r="H86" s="1390"/>
      <c r="I86" s="1390"/>
      <c r="J86" s="1194"/>
      <c r="K86" s="1194"/>
      <c r="L86" s="1194"/>
      <c r="M86" s="1194"/>
      <c r="N86" s="1155"/>
      <c r="O86" s="1155"/>
      <c r="P86" s="1155"/>
      <c r="Q86" s="1155"/>
      <c r="R86" s="1155"/>
      <c r="S86" s="1155"/>
      <c r="T86" s="1155"/>
      <c r="U86" s="1155"/>
      <c r="V86" s="1155"/>
      <c r="W86" s="1157"/>
      <c r="X86" s="1155"/>
      <c r="Y86" s="1155"/>
      <c r="Z86" s="1162"/>
      <c r="AA86" s="1162"/>
      <c r="AB86" s="1162"/>
      <c r="AC86" s="1162"/>
      <c r="AD86" s="1162"/>
      <c r="AE86" s="1162"/>
      <c r="AF86" s="1162"/>
      <c r="AG86" s="1162"/>
      <c r="AH86" s="1162"/>
      <c r="AI86" s="1162"/>
      <c r="AJ86" s="1162"/>
      <c r="AK86" s="1162"/>
      <c r="AL86" s="1162"/>
      <c r="AM86" s="1162"/>
      <c r="AN86" s="1162"/>
      <c r="AO86" s="1162"/>
      <c r="AP86" s="1162"/>
    </row>
    <row r="87" spans="1:43" s="1152" customFormat="1">
      <c r="A87" s="1199">
        <v>2014</v>
      </c>
      <c r="B87" s="1390"/>
      <c r="C87" s="1359"/>
      <c r="D87" s="1390"/>
      <c r="E87" s="1384"/>
      <c r="F87" s="1390"/>
      <c r="G87" s="1390"/>
      <c r="H87" s="1390"/>
      <c r="I87" s="1390"/>
      <c r="J87" s="111"/>
      <c r="K87" s="111"/>
      <c r="L87" s="111"/>
      <c r="M87" s="111"/>
      <c r="N87" s="1149"/>
      <c r="O87" s="1149"/>
      <c r="P87" s="1149"/>
      <c r="Q87" s="1149"/>
      <c r="R87" s="1149"/>
      <c r="S87" s="1149"/>
      <c r="T87" s="1149"/>
      <c r="U87" s="1149"/>
      <c r="V87" s="1151"/>
      <c r="W87" s="1150"/>
      <c r="X87" s="1151"/>
      <c r="Y87" s="1151"/>
      <c r="AQ87" s="1162"/>
    </row>
    <row r="88" spans="1:43" s="1152" customFormat="1">
      <c r="A88" s="1200">
        <v>2015</v>
      </c>
      <c r="B88" s="1390"/>
      <c r="C88" s="1359"/>
      <c r="D88" s="1390"/>
      <c r="E88" s="1384"/>
      <c r="F88" s="1390"/>
      <c r="G88" s="1390"/>
      <c r="H88" s="1390"/>
      <c r="I88" s="1390"/>
      <c r="J88" s="111"/>
      <c r="K88" s="111"/>
      <c r="L88" s="111"/>
      <c r="M88" s="111"/>
      <c r="N88" s="1149"/>
      <c r="O88" s="1149"/>
      <c r="P88" s="1149"/>
      <c r="Q88" s="1149"/>
      <c r="R88" s="1149"/>
      <c r="S88" s="1149"/>
      <c r="T88" s="1149"/>
      <c r="U88" s="1149"/>
      <c r="V88" s="1151"/>
      <c r="W88" s="1150"/>
      <c r="X88" s="1151"/>
      <c r="Y88" s="1151"/>
    </row>
    <row r="89" spans="1:43" s="1152" customFormat="1">
      <c r="A89" s="1195">
        <v>2016</v>
      </c>
      <c r="B89" s="1390"/>
      <c r="C89" s="1359"/>
      <c r="D89" s="1390"/>
      <c r="E89" s="1384"/>
      <c r="F89" s="1390"/>
      <c r="G89" s="1390"/>
      <c r="H89" s="1390"/>
      <c r="I89" s="1390"/>
      <c r="J89" s="111"/>
      <c r="K89" s="111"/>
      <c r="L89" s="111"/>
      <c r="M89" s="111"/>
      <c r="N89" s="1149"/>
      <c r="O89" s="1149"/>
      <c r="P89" s="1149"/>
      <c r="Q89" s="1149"/>
      <c r="R89" s="1149"/>
      <c r="S89" s="1149"/>
      <c r="T89" s="1149"/>
      <c r="U89" s="1149"/>
      <c r="V89" s="1151"/>
      <c r="W89" s="1150"/>
      <c r="X89" s="1151"/>
      <c r="Y89" s="1151"/>
    </row>
    <row r="90" spans="1:43" s="1152" customFormat="1">
      <c r="A90" s="1162"/>
      <c r="B90" s="1163"/>
      <c r="C90" s="1161"/>
      <c r="D90" s="1163"/>
      <c r="E90" s="1204"/>
      <c r="F90" s="1163"/>
      <c r="G90" s="1163"/>
      <c r="H90" s="1163"/>
      <c r="I90" s="1163"/>
      <c r="J90" s="1266"/>
      <c r="K90" s="1266"/>
      <c r="L90" s="1266"/>
      <c r="M90" s="1266"/>
      <c r="N90" s="1162"/>
      <c r="O90" s="1162"/>
      <c r="P90" s="1162"/>
      <c r="Q90" s="1162"/>
      <c r="R90" s="1162"/>
      <c r="S90" s="1162"/>
      <c r="T90" s="1162"/>
      <c r="U90" s="1162"/>
      <c r="W90" s="1159"/>
    </row>
    <row r="91" spans="1:43" s="1152" customFormat="1">
      <c r="A91" s="412" t="s">
        <v>1099</v>
      </c>
      <c r="B91" s="1185" t="s">
        <v>1192</v>
      </c>
      <c r="C91" s="1196"/>
      <c r="D91" s="1196"/>
      <c r="E91" s="1196"/>
      <c r="F91" s="1196"/>
      <c r="G91" s="1196"/>
      <c r="H91" s="1196"/>
      <c r="I91" s="1196"/>
      <c r="J91" s="403"/>
      <c r="K91" s="403"/>
      <c r="L91" s="403"/>
      <c r="M91" s="403"/>
      <c r="N91" s="1162"/>
      <c r="O91" s="1162"/>
      <c r="P91" s="1162"/>
      <c r="Q91" s="1162"/>
      <c r="R91" s="1162"/>
      <c r="S91" s="1162"/>
      <c r="T91" s="1162"/>
      <c r="U91" s="1162"/>
      <c r="W91" s="1159"/>
    </row>
    <row r="92" spans="1:43" s="1152" customFormat="1">
      <c r="A92" s="1197" t="str">
        <f>A85</f>
        <v>BERGERMEER (TAQA-UGS)</v>
      </c>
      <c r="B92" s="1198" t="s">
        <v>501</v>
      </c>
      <c r="C92" s="1198" t="s">
        <v>502</v>
      </c>
      <c r="D92" s="1198" t="s">
        <v>503</v>
      </c>
      <c r="E92" s="1198" t="s">
        <v>5</v>
      </c>
      <c r="F92" s="1198" t="s">
        <v>504</v>
      </c>
      <c r="G92" s="1198" t="s">
        <v>505</v>
      </c>
      <c r="H92" s="1198" t="s">
        <v>506</v>
      </c>
      <c r="I92" s="1185" t="s">
        <v>661</v>
      </c>
      <c r="J92" s="1194"/>
      <c r="K92" s="1194"/>
      <c r="L92" s="1194"/>
      <c r="M92" s="1194"/>
      <c r="N92" s="1155"/>
      <c r="O92" s="1155"/>
      <c r="P92" s="1155"/>
      <c r="Q92" s="1155"/>
      <c r="R92" s="1155"/>
      <c r="S92" s="1155"/>
      <c r="T92" s="1155"/>
      <c r="U92" s="1155"/>
      <c r="V92" s="1155"/>
      <c r="W92" s="1157"/>
      <c r="X92" s="1155"/>
      <c r="Y92" s="1155"/>
      <c r="Z92" s="1162"/>
      <c r="AA92" s="1162"/>
      <c r="AB92" s="1162"/>
      <c r="AC92" s="1162"/>
      <c r="AD92" s="1162"/>
      <c r="AE92" s="1162"/>
      <c r="AF92" s="1162"/>
      <c r="AG92" s="1162"/>
      <c r="AH92" s="1162"/>
      <c r="AI92" s="1162"/>
      <c r="AJ92" s="1162"/>
      <c r="AK92" s="1162"/>
      <c r="AL92" s="1162"/>
      <c r="AM92" s="1162"/>
      <c r="AN92" s="1162"/>
      <c r="AO92" s="1162"/>
      <c r="AP92" s="1162"/>
    </row>
    <row r="93" spans="1:43" s="1152" customFormat="1">
      <c r="A93" s="1195">
        <v>2013</v>
      </c>
      <c r="B93" s="1387"/>
      <c r="C93" s="1359"/>
      <c r="D93" s="1390"/>
      <c r="E93" s="1384"/>
      <c r="F93" s="1390"/>
      <c r="G93" s="1390"/>
      <c r="H93" s="1390"/>
      <c r="I93" s="1390"/>
      <c r="J93" s="1194"/>
      <c r="K93" s="1194"/>
      <c r="L93" s="1194"/>
      <c r="M93" s="1194"/>
      <c r="N93" s="1155"/>
      <c r="O93" s="1155"/>
      <c r="P93" s="1155"/>
      <c r="Q93" s="1155"/>
      <c r="R93" s="1155"/>
      <c r="S93" s="1155"/>
      <c r="T93" s="1155"/>
      <c r="U93" s="1155"/>
      <c r="V93" s="1155"/>
      <c r="W93" s="1157"/>
      <c r="X93" s="1155"/>
      <c r="Y93" s="1155"/>
      <c r="Z93" s="1162"/>
      <c r="AA93" s="1162"/>
      <c r="AB93" s="1162"/>
      <c r="AC93" s="1162"/>
      <c r="AD93" s="1162"/>
      <c r="AE93" s="1162"/>
      <c r="AF93" s="1162"/>
      <c r="AG93" s="1162"/>
      <c r="AH93" s="1162"/>
      <c r="AI93" s="1162"/>
      <c r="AJ93" s="1162"/>
      <c r="AK93" s="1162"/>
      <c r="AL93" s="1162"/>
      <c r="AM93" s="1162"/>
      <c r="AN93" s="1162"/>
      <c r="AO93" s="1162"/>
      <c r="AP93" s="1162"/>
    </row>
    <row r="94" spans="1:43" s="1152" customFormat="1">
      <c r="A94" s="1199">
        <v>2014</v>
      </c>
      <c r="B94" s="1390"/>
      <c r="C94" s="1359"/>
      <c r="D94" s="1390"/>
      <c r="E94" s="1384"/>
      <c r="F94" s="1390"/>
      <c r="G94" s="1390"/>
      <c r="H94" s="1390"/>
      <c r="I94" s="1390"/>
      <c r="J94" s="111"/>
      <c r="K94" s="111"/>
      <c r="L94" s="111"/>
      <c r="M94" s="111"/>
      <c r="N94" s="1149"/>
      <c r="O94" s="1149"/>
      <c r="P94" s="1149"/>
      <c r="Q94" s="1149"/>
      <c r="R94" s="1149"/>
      <c r="S94" s="1149"/>
      <c r="T94" s="1149"/>
      <c r="U94" s="1149"/>
      <c r="V94" s="1151"/>
      <c r="W94" s="1150"/>
      <c r="X94" s="1151"/>
      <c r="Y94" s="1151"/>
      <c r="AQ94" s="1162"/>
    </row>
    <row r="95" spans="1:43" s="1152" customFormat="1">
      <c r="A95" s="1200">
        <v>2015</v>
      </c>
      <c r="B95" s="1390"/>
      <c r="C95" s="1359"/>
      <c r="D95" s="1390"/>
      <c r="E95" s="1384"/>
      <c r="F95" s="1390"/>
      <c r="G95" s="1390"/>
      <c r="H95" s="1390"/>
      <c r="I95" s="1390"/>
      <c r="J95" s="111"/>
      <c r="K95" s="111"/>
      <c r="L95" s="111"/>
      <c r="M95" s="111"/>
      <c r="N95" s="1149"/>
      <c r="O95" s="1149"/>
      <c r="P95" s="1149"/>
      <c r="Q95" s="1149"/>
      <c r="R95" s="1149"/>
      <c r="S95" s="1149"/>
      <c r="T95" s="1149"/>
      <c r="U95" s="1149"/>
      <c r="V95" s="1151"/>
      <c r="W95" s="1150"/>
      <c r="X95" s="1151"/>
      <c r="Y95" s="1151"/>
    </row>
    <row r="96" spans="1:43" s="1152" customFormat="1">
      <c r="A96" s="1195">
        <v>2016</v>
      </c>
      <c r="B96" s="1390"/>
      <c r="C96" s="1359"/>
      <c r="D96" s="1390"/>
      <c r="E96" s="1384"/>
      <c r="F96" s="1390"/>
      <c r="G96" s="1390"/>
      <c r="H96" s="1390"/>
      <c r="I96" s="1390"/>
      <c r="J96" s="111"/>
      <c r="K96" s="111"/>
      <c r="L96" s="111"/>
      <c r="M96" s="111"/>
      <c r="N96" s="1149"/>
      <c r="O96" s="1149"/>
      <c r="P96" s="1149"/>
      <c r="Q96" s="1149"/>
      <c r="R96" s="1149"/>
      <c r="S96" s="1149"/>
      <c r="T96" s="1149"/>
      <c r="U96" s="1149"/>
      <c r="V96" s="1151"/>
      <c r="W96" s="1150"/>
      <c r="X96" s="1151"/>
      <c r="Y96" s="1151"/>
    </row>
    <row r="97" spans="1:43" s="1152" customFormat="1">
      <c r="A97" s="1186"/>
      <c r="B97" s="1149"/>
      <c r="C97" s="1149"/>
      <c r="D97" s="1149"/>
      <c r="E97" s="1149"/>
      <c r="F97" s="1149"/>
      <c r="G97" s="1149"/>
      <c r="H97" s="1149"/>
      <c r="I97" s="1149"/>
      <c r="J97" s="403"/>
      <c r="K97" s="403"/>
      <c r="L97" s="403"/>
      <c r="M97" s="403"/>
      <c r="N97" s="1149"/>
      <c r="O97" s="1149"/>
      <c r="P97" s="1149"/>
      <c r="Q97" s="1149"/>
      <c r="R97" s="1149"/>
      <c r="S97" s="1149"/>
      <c r="T97" s="1149"/>
      <c r="U97" s="1149"/>
      <c r="V97" s="1151"/>
      <c r="W97" s="1150"/>
      <c r="X97" s="1151"/>
      <c r="Y97" s="1151"/>
    </row>
    <row r="98" spans="1:43" s="1152" customFormat="1">
      <c r="A98" s="412" t="s">
        <v>1099</v>
      </c>
      <c r="B98" s="1185" t="s">
        <v>1192</v>
      </c>
      <c r="C98" s="1196"/>
      <c r="D98" s="1196"/>
      <c r="E98" s="1196"/>
      <c r="F98" s="1196"/>
      <c r="G98" s="1196"/>
      <c r="H98" s="1196"/>
      <c r="I98" s="1196"/>
      <c r="J98" s="403"/>
      <c r="K98" s="403"/>
      <c r="L98" s="403"/>
      <c r="M98" s="403"/>
      <c r="N98" s="1162"/>
      <c r="O98" s="1162"/>
      <c r="P98" s="1162"/>
      <c r="Q98" s="1162"/>
      <c r="R98" s="1162"/>
      <c r="S98" s="1162"/>
      <c r="T98" s="1162"/>
      <c r="U98" s="1162"/>
      <c r="W98" s="1159"/>
    </row>
    <row r="99" spans="1:43" s="1152" customFormat="1">
      <c r="A99" s="1197" t="str">
        <f>A85</f>
        <v>BERGERMEER (TAQA-UGS)</v>
      </c>
      <c r="B99" s="1198" t="s">
        <v>501</v>
      </c>
      <c r="C99" s="1198" t="s">
        <v>502</v>
      </c>
      <c r="D99" s="1198" t="s">
        <v>503</v>
      </c>
      <c r="E99" s="1198" t="s">
        <v>5</v>
      </c>
      <c r="F99" s="1198" t="s">
        <v>504</v>
      </c>
      <c r="G99" s="1198" t="s">
        <v>505</v>
      </c>
      <c r="H99" s="1198" t="s">
        <v>506</v>
      </c>
      <c r="I99" s="1185" t="s">
        <v>661</v>
      </c>
      <c r="J99" s="1194"/>
      <c r="K99" s="1194"/>
      <c r="L99" s="1194"/>
      <c r="M99" s="1194"/>
      <c r="N99" s="1155"/>
      <c r="O99" s="1155"/>
      <c r="P99" s="1155"/>
      <c r="Q99" s="1155"/>
      <c r="R99" s="1155"/>
      <c r="S99" s="1155"/>
      <c r="T99" s="1155"/>
      <c r="U99" s="1155"/>
      <c r="V99" s="1155"/>
      <c r="W99" s="1157"/>
      <c r="X99" s="1155"/>
      <c r="Y99" s="1155"/>
      <c r="Z99" s="1162"/>
      <c r="AA99" s="1162"/>
      <c r="AB99" s="1162"/>
      <c r="AC99" s="1162"/>
      <c r="AD99" s="1162"/>
      <c r="AE99" s="1162"/>
      <c r="AF99" s="1162"/>
      <c r="AG99" s="1162"/>
      <c r="AH99" s="1162"/>
      <c r="AI99" s="1162"/>
      <c r="AJ99" s="1162"/>
      <c r="AK99" s="1162"/>
      <c r="AL99" s="1162"/>
      <c r="AM99" s="1162"/>
      <c r="AN99" s="1162"/>
      <c r="AO99" s="1162"/>
      <c r="AP99" s="1162"/>
    </row>
    <row r="100" spans="1:43" s="1152" customFormat="1">
      <c r="A100" s="1195">
        <v>2013</v>
      </c>
      <c r="B100" s="1387"/>
      <c r="C100" s="1359"/>
      <c r="D100" s="1390"/>
      <c r="E100" s="1384"/>
      <c r="F100" s="1390"/>
      <c r="G100" s="1390"/>
      <c r="H100" s="1390"/>
      <c r="I100" s="1390"/>
      <c r="J100" s="1194"/>
      <c r="K100" s="1194"/>
      <c r="L100" s="1194"/>
      <c r="M100" s="1194"/>
      <c r="N100" s="1155"/>
      <c r="O100" s="1155"/>
      <c r="P100" s="1155"/>
      <c r="Q100" s="1155"/>
      <c r="R100" s="1155"/>
      <c r="S100" s="1155"/>
      <c r="T100" s="1155"/>
      <c r="U100" s="1155"/>
      <c r="V100" s="1155"/>
      <c r="W100" s="1157"/>
      <c r="X100" s="1155"/>
      <c r="Y100" s="1155"/>
      <c r="Z100" s="1162"/>
      <c r="AA100" s="1162"/>
      <c r="AB100" s="1162"/>
      <c r="AC100" s="1162"/>
      <c r="AD100" s="1162"/>
      <c r="AE100" s="1162"/>
      <c r="AF100" s="1162"/>
      <c r="AG100" s="1162"/>
      <c r="AH100" s="1162"/>
      <c r="AI100" s="1162"/>
      <c r="AJ100" s="1162"/>
      <c r="AK100" s="1162"/>
      <c r="AL100" s="1162"/>
      <c r="AM100" s="1162"/>
      <c r="AN100" s="1162"/>
      <c r="AO100" s="1162"/>
      <c r="AP100" s="1162"/>
    </row>
    <row r="101" spans="1:43" s="1152" customFormat="1">
      <c r="A101" s="1199">
        <v>2014</v>
      </c>
      <c r="B101" s="1390"/>
      <c r="C101" s="1359"/>
      <c r="D101" s="1390"/>
      <c r="E101" s="1384"/>
      <c r="F101" s="1390"/>
      <c r="G101" s="1390"/>
      <c r="H101" s="1390"/>
      <c r="I101" s="1390"/>
      <c r="J101" s="111"/>
      <c r="K101" s="111"/>
      <c r="L101" s="111"/>
      <c r="M101" s="111"/>
      <c r="N101" s="1149"/>
      <c r="O101" s="1149"/>
      <c r="P101" s="1149"/>
      <c r="Q101" s="1149"/>
      <c r="R101" s="1149"/>
      <c r="S101" s="1149"/>
      <c r="T101" s="1149"/>
      <c r="U101" s="1149"/>
      <c r="V101" s="1151"/>
      <c r="W101" s="1150"/>
      <c r="X101" s="1151"/>
      <c r="Y101" s="1151"/>
      <c r="AQ101" s="1162"/>
    </row>
    <row r="102" spans="1:43" s="1152" customFormat="1">
      <c r="A102" s="1200">
        <v>2015</v>
      </c>
      <c r="B102" s="1390"/>
      <c r="C102" s="1359"/>
      <c r="D102" s="1390"/>
      <c r="E102" s="1384"/>
      <c r="F102" s="1390"/>
      <c r="G102" s="1390"/>
      <c r="H102" s="1390"/>
      <c r="I102" s="1390"/>
      <c r="J102" s="111"/>
      <c r="K102" s="111"/>
      <c r="L102" s="111"/>
      <c r="M102" s="111"/>
      <c r="N102" s="1149"/>
      <c r="O102" s="1149"/>
      <c r="P102" s="1149"/>
      <c r="Q102" s="1149"/>
      <c r="R102" s="1149"/>
      <c r="S102" s="1149"/>
      <c r="T102" s="1149"/>
      <c r="U102" s="1149"/>
      <c r="V102" s="1151"/>
      <c r="W102" s="1150"/>
      <c r="X102" s="1151"/>
      <c r="Y102" s="1151"/>
    </row>
    <row r="103" spans="1:43" s="1152" customFormat="1">
      <c r="A103" s="1195">
        <v>2016</v>
      </c>
      <c r="B103" s="1390"/>
      <c r="C103" s="1359"/>
      <c r="D103" s="1390"/>
      <c r="E103" s="1384"/>
      <c r="F103" s="1390"/>
      <c r="G103" s="1390"/>
      <c r="H103" s="1390"/>
      <c r="I103" s="1390"/>
      <c r="J103" s="111"/>
      <c r="K103" s="111"/>
      <c r="L103" s="111"/>
      <c r="M103" s="111"/>
      <c r="N103" s="1149"/>
      <c r="O103" s="1149"/>
      <c r="P103" s="1149"/>
      <c r="Q103" s="1149"/>
      <c r="R103" s="1149"/>
      <c r="S103" s="1149"/>
      <c r="T103" s="1149"/>
      <c r="U103" s="1149"/>
      <c r="V103" s="1151"/>
      <c r="W103" s="1150"/>
      <c r="X103" s="1151"/>
      <c r="Y103" s="1151"/>
    </row>
    <row r="104" spans="1:43" s="1152" customFormat="1">
      <c r="A104" s="1186"/>
      <c r="B104" s="1149"/>
      <c r="C104" s="1149"/>
      <c r="D104" s="1149"/>
      <c r="E104" s="1149"/>
      <c r="F104" s="1149"/>
      <c r="G104" s="1149"/>
      <c r="H104" s="1149"/>
      <c r="I104" s="1149"/>
      <c r="J104" s="403"/>
      <c r="K104" s="403"/>
      <c r="L104" s="403"/>
      <c r="M104" s="403"/>
      <c r="N104" s="1149"/>
      <c r="O104" s="1149"/>
      <c r="P104" s="1149"/>
      <c r="Q104" s="1149"/>
      <c r="R104" s="1149"/>
      <c r="S104" s="1149"/>
      <c r="T104" s="1149"/>
      <c r="U104" s="1149"/>
      <c r="V104" s="1151"/>
      <c r="W104" s="1150"/>
      <c r="X104" s="1151"/>
      <c r="Y104" s="1151"/>
    </row>
    <row r="105" spans="1:43" s="1152" customFormat="1" ht="15" customHeight="1">
      <c r="A105" s="412" t="s">
        <v>1099</v>
      </c>
      <c r="B105" s="1185" t="s">
        <v>1193</v>
      </c>
      <c r="C105" s="1196"/>
      <c r="D105" s="1196"/>
      <c r="E105" s="1196"/>
      <c r="F105" s="1196"/>
      <c r="G105" s="1196"/>
      <c r="H105" s="1196"/>
      <c r="I105" s="1196"/>
      <c r="J105" s="403"/>
      <c r="K105" s="403"/>
      <c r="L105" s="403"/>
      <c r="M105" s="403"/>
      <c r="N105" s="1162"/>
      <c r="O105" s="1162"/>
      <c r="P105" s="1162"/>
      <c r="Q105" s="1162"/>
      <c r="R105" s="1162"/>
      <c r="S105" s="1162"/>
      <c r="T105" s="1162"/>
      <c r="U105" s="1162"/>
      <c r="W105" s="1159"/>
    </row>
    <row r="106" spans="1:43" s="1152" customFormat="1">
      <c r="A106" s="1197" t="str">
        <f>B36</f>
        <v>OUDE STATENZIJL (ASTORA JEMGUM)</v>
      </c>
      <c r="B106" s="1198" t="s">
        <v>501</v>
      </c>
      <c r="C106" s="1198" t="s">
        <v>502</v>
      </c>
      <c r="D106" s="1198" t="s">
        <v>503</v>
      </c>
      <c r="E106" s="1198" t="s">
        <v>5</v>
      </c>
      <c r="F106" s="1198" t="s">
        <v>504</v>
      </c>
      <c r="G106" s="1198" t="s">
        <v>505</v>
      </c>
      <c r="H106" s="1198" t="s">
        <v>506</v>
      </c>
      <c r="I106" s="1185" t="s">
        <v>661</v>
      </c>
      <c r="J106" s="1194"/>
      <c r="K106" s="1194"/>
      <c r="L106" s="1194"/>
      <c r="M106" s="1194"/>
      <c r="N106" s="1155"/>
      <c r="O106" s="1155"/>
      <c r="P106" s="1155"/>
      <c r="Q106" s="1155"/>
      <c r="R106" s="1155"/>
      <c r="S106" s="1155"/>
      <c r="T106" s="1155"/>
      <c r="U106" s="1155"/>
      <c r="V106" s="1155"/>
      <c r="W106" s="1157"/>
      <c r="X106" s="1155"/>
      <c r="Y106" s="1155"/>
      <c r="Z106" s="1162"/>
      <c r="AA106" s="1162"/>
      <c r="AB106" s="1162"/>
      <c r="AC106" s="1162"/>
      <c r="AD106" s="1162"/>
      <c r="AE106" s="1162"/>
      <c r="AF106" s="1162"/>
      <c r="AG106" s="1162"/>
      <c r="AH106" s="1162"/>
      <c r="AI106" s="1162"/>
      <c r="AJ106" s="1162"/>
      <c r="AK106" s="1162"/>
      <c r="AL106" s="1162"/>
      <c r="AM106" s="1162"/>
      <c r="AN106" s="1162"/>
      <c r="AO106" s="1162"/>
      <c r="AP106" s="1162"/>
    </row>
    <row r="107" spans="1:43" s="1152" customFormat="1">
      <c r="A107" s="1195">
        <v>2013</v>
      </c>
      <c r="B107" s="1387"/>
      <c r="C107" s="1359"/>
      <c r="D107" s="1390"/>
      <c r="E107" s="1384"/>
      <c r="F107" s="1390"/>
      <c r="G107" s="1390"/>
      <c r="H107" s="1390"/>
      <c r="I107" s="1390"/>
      <c r="J107" s="1194"/>
      <c r="K107" s="1194"/>
      <c r="L107" s="1194"/>
      <c r="M107" s="1194"/>
      <c r="N107" s="1155"/>
      <c r="O107" s="1155"/>
      <c r="P107" s="1155"/>
      <c r="Q107" s="1155"/>
      <c r="R107" s="1155"/>
      <c r="S107" s="1155"/>
      <c r="T107" s="1155"/>
      <c r="U107" s="1155"/>
      <c r="V107" s="1155"/>
      <c r="W107" s="1157"/>
      <c r="X107" s="1155"/>
      <c r="Y107" s="1155"/>
      <c r="Z107" s="1162"/>
      <c r="AA107" s="1162"/>
      <c r="AB107" s="1162"/>
      <c r="AC107" s="1162"/>
      <c r="AD107" s="1162"/>
      <c r="AE107" s="1162"/>
      <c r="AF107" s="1162"/>
      <c r="AG107" s="1162"/>
      <c r="AH107" s="1162"/>
      <c r="AI107" s="1162"/>
      <c r="AJ107" s="1162"/>
      <c r="AK107" s="1162"/>
      <c r="AL107" s="1162"/>
      <c r="AM107" s="1162"/>
      <c r="AN107" s="1162"/>
      <c r="AO107" s="1162"/>
      <c r="AP107" s="1162"/>
    </row>
    <row r="108" spans="1:43" s="1152" customFormat="1">
      <c r="A108" s="1199">
        <v>2014</v>
      </c>
      <c r="B108" s="1359"/>
      <c r="C108" s="1359"/>
      <c r="D108" s="1390"/>
      <c r="E108" s="1384"/>
      <c r="F108" s="1390"/>
      <c r="G108" s="1390"/>
      <c r="H108" s="1390"/>
      <c r="I108" s="1390"/>
      <c r="J108" s="111"/>
      <c r="K108" s="111"/>
      <c r="L108" s="111"/>
      <c r="M108" s="111"/>
      <c r="N108" s="1149"/>
      <c r="O108" s="1149"/>
      <c r="P108" s="1149"/>
      <c r="Q108" s="1149"/>
      <c r="R108" s="1149"/>
      <c r="S108" s="1149"/>
      <c r="T108" s="1149"/>
      <c r="U108" s="1149"/>
      <c r="V108" s="1151"/>
      <c r="W108" s="1150"/>
      <c r="X108" s="1151"/>
      <c r="Y108" s="1151"/>
      <c r="AQ108" s="1162"/>
    </row>
    <row r="109" spans="1:43" s="1152" customFormat="1">
      <c r="A109" s="1200">
        <v>2015</v>
      </c>
      <c r="B109" s="1359"/>
      <c r="C109" s="1359"/>
      <c r="D109" s="1390"/>
      <c r="E109" s="1384"/>
      <c r="F109" s="1390"/>
      <c r="G109" s="1390"/>
      <c r="H109" s="1390"/>
      <c r="I109" s="1390"/>
      <c r="J109" s="111"/>
      <c r="K109" s="111"/>
      <c r="L109" s="111"/>
      <c r="M109" s="111"/>
      <c r="N109" s="1149"/>
      <c r="O109" s="1149"/>
      <c r="P109" s="1149"/>
      <c r="Q109" s="1149"/>
      <c r="R109" s="1149"/>
      <c r="S109" s="1149"/>
      <c r="T109" s="1149"/>
      <c r="U109" s="1149"/>
      <c r="V109" s="1151"/>
      <c r="W109" s="1150"/>
      <c r="X109" s="1151"/>
      <c r="Y109" s="1151"/>
    </row>
    <row r="110" spans="1:43" s="1152" customFormat="1">
      <c r="A110" s="1195">
        <v>2016</v>
      </c>
      <c r="B110" s="1359"/>
      <c r="C110" s="1359"/>
      <c r="D110" s="1390"/>
      <c r="E110" s="1384"/>
      <c r="F110" s="1390"/>
      <c r="G110" s="1390"/>
      <c r="H110" s="1390"/>
      <c r="I110" s="1390"/>
      <c r="J110" s="111"/>
      <c r="K110" s="111"/>
      <c r="L110" s="111"/>
      <c r="M110" s="111"/>
      <c r="N110" s="1149"/>
      <c r="O110" s="1149"/>
      <c r="P110" s="1149"/>
      <c r="Q110" s="1149"/>
      <c r="R110" s="1149"/>
      <c r="S110" s="1149"/>
      <c r="T110" s="1149"/>
      <c r="U110" s="1149"/>
      <c r="V110" s="1151"/>
      <c r="W110" s="1150"/>
      <c r="X110" s="1151"/>
      <c r="Y110" s="1151"/>
    </row>
    <row r="111" spans="1:43" s="1152" customFormat="1">
      <c r="A111" s="1186"/>
      <c r="B111" s="1149"/>
      <c r="C111" s="1149"/>
      <c r="D111" s="1149"/>
      <c r="E111" s="1149"/>
      <c r="F111" s="1149"/>
      <c r="G111" s="1149"/>
      <c r="H111" s="1149"/>
      <c r="I111" s="1149"/>
      <c r="J111" s="403"/>
      <c r="K111" s="403"/>
      <c r="L111" s="403"/>
      <c r="M111" s="403"/>
      <c r="N111" s="1149"/>
      <c r="O111" s="1149"/>
      <c r="P111" s="1149"/>
      <c r="Q111" s="1149"/>
      <c r="R111" s="1149"/>
      <c r="S111" s="1149"/>
      <c r="T111" s="1149"/>
      <c r="U111" s="1149"/>
      <c r="V111" s="1151"/>
      <c r="W111" s="1150"/>
      <c r="X111" s="1151"/>
      <c r="Y111" s="1151"/>
    </row>
    <row r="112" spans="1:43" s="1152" customFormat="1">
      <c r="A112" s="412" t="s">
        <v>1099</v>
      </c>
      <c r="B112" s="1185" t="s">
        <v>1192</v>
      </c>
      <c r="C112" s="1196"/>
      <c r="D112" s="1196"/>
      <c r="E112" s="1196"/>
      <c r="F112" s="1196"/>
      <c r="G112" s="1196"/>
      <c r="H112" s="1196"/>
      <c r="I112" s="1196"/>
      <c r="J112" s="403"/>
      <c r="K112" s="403"/>
      <c r="L112" s="403"/>
      <c r="M112" s="403"/>
      <c r="N112" s="1162"/>
      <c r="O112" s="1162"/>
      <c r="P112" s="1162"/>
      <c r="Q112" s="1162"/>
      <c r="R112" s="1162"/>
      <c r="S112" s="1162"/>
      <c r="T112" s="1162"/>
      <c r="U112" s="1162"/>
      <c r="W112" s="1159"/>
    </row>
    <row r="113" spans="1:43" s="1152" customFormat="1">
      <c r="A113" s="1197" t="str">
        <f>A106</f>
        <v>OUDE STATENZIJL (ASTORA JEMGUM)</v>
      </c>
      <c r="B113" s="1198" t="s">
        <v>501</v>
      </c>
      <c r="C113" s="1198" t="s">
        <v>502</v>
      </c>
      <c r="D113" s="1198" t="s">
        <v>503</v>
      </c>
      <c r="E113" s="1198" t="s">
        <v>5</v>
      </c>
      <c r="F113" s="1198" t="s">
        <v>504</v>
      </c>
      <c r="G113" s="1198" t="s">
        <v>505</v>
      </c>
      <c r="H113" s="1198" t="s">
        <v>506</v>
      </c>
      <c r="I113" s="1185" t="s">
        <v>661</v>
      </c>
      <c r="J113" s="1194"/>
      <c r="K113" s="1194"/>
      <c r="L113" s="1194"/>
      <c r="M113" s="1194"/>
      <c r="N113" s="1155"/>
      <c r="O113" s="1155"/>
      <c r="P113" s="1155"/>
      <c r="Q113" s="1155"/>
      <c r="R113" s="1155"/>
      <c r="S113" s="1155"/>
      <c r="T113" s="1155"/>
      <c r="U113" s="1155"/>
      <c r="V113" s="1155"/>
      <c r="W113" s="1157"/>
      <c r="X113" s="1155"/>
      <c r="Y113" s="1155"/>
      <c r="Z113" s="1162"/>
      <c r="AA113" s="1162"/>
      <c r="AB113" s="1162"/>
      <c r="AC113" s="1162"/>
      <c r="AD113" s="1162"/>
      <c r="AE113" s="1162"/>
      <c r="AF113" s="1162"/>
      <c r="AG113" s="1162"/>
      <c r="AH113" s="1162"/>
      <c r="AI113" s="1162"/>
      <c r="AJ113" s="1162"/>
      <c r="AK113" s="1162"/>
      <c r="AL113" s="1162"/>
      <c r="AM113" s="1162"/>
      <c r="AN113" s="1162"/>
      <c r="AO113" s="1162"/>
      <c r="AP113" s="1162"/>
    </row>
    <row r="114" spans="1:43" s="1152" customFormat="1">
      <c r="A114" s="1195">
        <v>2013</v>
      </c>
      <c r="B114" s="1387"/>
      <c r="C114" s="1359"/>
      <c r="D114" s="1390"/>
      <c r="E114" s="1384"/>
      <c r="F114" s="1390"/>
      <c r="G114" s="1390"/>
      <c r="H114" s="1390"/>
      <c r="I114" s="1390"/>
      <c r="J114" s="1194"/>
      <c r="K114" s="1194"/>
      <c r="L114" s="1194"/>
      <c r="M114" s="1194"/>
      <c r="N114" s="1155"/>
      <c r="O114" s="1155"/>
      <c r="P114" s="1155"/>
      <c r="Q114" s="1155"/>
      <c r="R114" s="1155"/>
      <c r="S114" s="1155"/>
      <c r="T114" s="1155"/>
      <c r="U114" s="1155"/>
      <c r="V114" s="1155"/>
      <c r="W114" s="1157"/>
      <c r="X114" s="1155"/>
      <c r="Y114" s="1155"/>
      <c r="Z114" s="1162"/>
      <c r="AA114" s="1162"/>
      <c r="AB114" s="1162"/>
      <c r="AC114" s="1162"/>
      <c r="AD114" s="1162"/>
      <c r="AE114" s="1162"/>
      <c r="AF114" s="1162"/>
      <c r="AG114" s="1162"/>
      <c r="AH114" s="1162"/>
      <c r="AI114" s="1162"/>
      <c r="AJ114" s="1162"/>
      <c r="AK114" s="1162"/>
      <c r="AL114" s="1162"/>
      <c r="AM114" s="1162"/>
      <c r="AN114" s="1162"/>
      <c r="AO114" s="1162"/>
      <c r="AP114" s="1162"/>
    </row>
    <row r="115" spans="1:43" s="1152" customFormat="1">
      <c r="A115" s="1199">
        <v>2014</v>
      </c>
      <c r="B115" s="1390"/>
      <c r="C115" s="1359"/>
      <c r="D115" s="1390"/>
      <c r="E115" s="1384"/>
      <c r="F115" s="1390"/>
      <c r="G115" s="1390"/>
      <c r="H115" s="1390"/>
      <c r="I115" s="1390"/>
      <c r="J115" s="111"/>
      <c r="K115" s="111"/>
      <c r="L115" s="111"/>
      <c r="M115" s="111"/>
      <c r="N115" s="1149"/>
      <c r="O115" s="1149"/>
      <c r="P115" s="1149"/>
      <c r="Q115" s="1149"/>
      <c r="R115" s="1149"/>
      <c r="S115" s="1149"/>
      <c r="T115" s="1149"/>
      <c r="U115" s="1149"/>
      <c r="V115" s="1151"/>
      <c r="W115" s="1150"/>
      <c r="X115" s="1151"/>
      <c r="Y115" s="1151"/>
      <c r="AQ115" s="1162"/>
    </row>
    <row r="116" spans="1:43" s="1152" customFormat="1">
      <c r="A116" s="1200">
        <v>2015</v>
      </c>
      <c r="B116" s="1390"/>
      <c r="C116" s="1359"/>
      <c r="D116" s="1390"/>
      <c r="E116" s="1384"/>
      <c r="F116" s="1390"/>
      <c r="G116" s="1390"/>
      <c r="H116" s="1390"/>
      <c r="I116" s="1390"/>
      <c r="J116" s="111"/>
      <c r="K116" s="111"/>
      <c r="L116" s="111"/>
      <c r="M116" s="111"/>
      <c r="N116" s="1149"/>
      <c r="O116" s="1149"/>
      <c r="P116" s="1149"/>
      <c r="Q116" s="1149"/>
      <c r="R116" s="1149"/>
      <c r="S116" s="1149"/>
      <c r="T116" s="1149"/>
      <c r="U116" s="1149"/>
      <c r="V116" s="1151"/>
      <c r="W116" s="1150"/>
      <c r="X116" s="1151"/>
      <c r="Y116" s="1151"/>
    </row>
    <row r="117" spans="1:43" s="1152" customFormat="1">
      <c r="A117" s="1195">
        <v>2016</v>
      </c>
      <c r="B117" s="1390"/>
      <c r="C117" s="1359"/>
      <c r="D117" s="1390"/>
      <c r="E117" s="1384"/>
      <c r="F117" s="1390"/>
      <c r="G117" s="1390"/>
      <c r="H117" s="1390"/>
      <c r="I117" s="1390"/>
      <c r="J117" s="111"/>
      <c r="K117" s="111"/>
      <c r="L117" s="111"/>
      <c r="M117" s="111"/>
      <c r="N117" s="1149"/>
      <c r="O117" s="1149"/>
      <c r="P117" s="1149"/>
      <c r="Q117" s="1149"/>
      <c r="R117" s="1149"/>
      <c r="S117" s="1149"/>
      <c r="T117" s="1149"/>
      <c r="U117" s="1149"/>
      <c r="V117" s="1151"/>
      <c r="W117" s="1150"/>
      <c r="X117" s="1151"/>
      <c r="Y117" s="1151"/>
    </row>
    <row r="118" spans="1:43">
      <c r="A118" s="1205"/>
      <c r="B118" s="1206"/>
      <c r="C118" s="1207"/>
      <c r="D118" s="1208"/>
      <c r="E118" s="1209"/>
      <c r="F118" s="1208"/>
      <c r="G118" s="1208"/>
      <c r="H118" s="1208"/>
      <c r="I118" s="1208"/>
      <c r="J118" s="1201"/>
      <c r="K118" s="1201"/>
      <c r="L118" s="1201"/>
      <c r="M118" s="1201"/>
      <c r="N118" s="1201"/>
      <c r="O118" s="1201"/>
      <c r="P118" s="1201"/>
      <c r="Q118" s="1201"/>
      <c r="R118" s="1201"/>
      <c r="S118" s="1201"/>
      <c r="T118" s="1201"/>
      <c r="U118" s="1201"/>
      <c r="V118" s="1201"/>
      <c r="W118" s="1201"/>
      <c r="X118" s="1201"/>
      <c r="Y118" s="1201"/>
    </row>
    <row r="119" spans="1:43">
      <c r="A119" s="412" t="s">
        <v>1099</v>
      </c>
      <c r="B119" s="1185" t="s">
        <v>1192</v>
      </c>
      <c r="C119" s="1196"/>
      <c r="D119" s="1196"/>
      <c r="E119" s="1196"/>
      <c r="F119" s="1196"/>
      <c r="G119" s="1196"/>
      <c r="H119" s="1196"/>
      <c r="I119" s="1196"/>
    </row>
    <row r="120" spans="1:43">
      <c r="A120" s="1197" t="str">
        <f>A113</f>
        <v>OUDE STATENZIJL (ASTORA JEMGUM)</v>
      </c>
      <c r="B120" s="1198" t="s">
        <v>501</v>
      </c>
      <c r="C120" s="1198" t="s">
        <v>502</v>
      </c>
      <c r="D120" s="1198" t="s">
        <v>503</v>
      </c>
      <c r="E120" s="1198" t="s">
        <v>5</v>
      </c>
      <c r="F120" s="1198" t="s">
        <v>504</v>
      </c>
      <c r="G120" s="1198" t="s">
        <v>505</v>
      </c>
      <c r="H120" s="1198" t="s">
        <v>506</v>
      </c>
      <c r="I120" s="1185" t="s">
        <v>661</v>
      </c>
    </row>
    <row r="121" spans="1:43">
      <c r="A121" s="1195">
        <v>2013</v>
      </c>
      <c r="B121" s="1387"/>
      <c r="C121" s="1359"/>
      <c r="D121" s="1390"/>
      <c r="E121" s="1384"/>
      <c r="F121" s="1390"/>
      <c r="G121" s="1390"/>
      <c r="H121" s="1390"/>
      <c r="I121" s="1390"/>
    </row>
    <row r="122" spans="1:43">
      <c r="A122" s="1199">
        <v>2014</v>
      </c>
      <c r="B122" s="1390"/>
      <c r="C122" s="1359"/>
      <c r="D122" s="1390"/>
      <c r="E122" s="1384"/>
      <c r="F122" s="1390"/>
      <c r="G122" s="1390"/>
      <c r="H122" s="1390"/>
      <c r="I122" s="1390"/>
    </row>
    <row r="123" spans="1:43">
      <c r="A123" s="1200">
        <v>2015</v>
      </c>
      <c r="B123" s="1390"/>
      <c r="C123" s="1359"/>
      <c r="D123" s="1390"/>
      <c r="E123" s="1384"/>
      <c r="F123" s="1390"/>
      <c r="G123" s="1390"/>
      <c r="H123" s="1390"/>
      <c r="I123" s="1390"/>
    </row>
    <row r="124" spans="1:43">
      <c r="A124" s="1195">
        <v>2016</v>
      </c>
      <c r="B124" s="1390"/>
      <c r="C124" s="1359"/>
      <c r="D124" s="1390"/>
      <c r="E124" s="1384"/>
      <c r="F124" s="1390"/>
      <c r="G124" s="1390"/>
      <c r="H124" s="1390"/>
      <c r="I124" s="1390"/>
    </row>
  </sheetData>
  <mergeCells count="1">
    <mergeCell ref="A1:E1"/>
  </mergeCells>
  <pageMargins left="0.7" right="0.7" top="0.75" bottom="0.75" header="0.3" footer="0.3"/>
  <pageSetup scale="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6"/>
  <sheetViews>
    <sheetView showGridLines="0" zoomScale="70" zoomScaleNormal="70" zoomScaleSheetLayoutView="70" workbookViewId="0"/>
  </sheetViews>
  <sheetFormatPr defaultRowHeight="15" customHeight="1"/>
  <cols>
    <col min="1" max="1" width="61" style="1202" customWidth="1"/>
    <col min="2" max="2" width="40.28515625" style="1202" customWidth="1"/>
    <col min="3" max="5" width="31.42578125" style="1202" bestFit="1" customWidth="1"/>
    <col min="6" max="8" width="31.42578125" style="1202" customWidth="1"/>
    <col min="9" max="16384" width="9.140625" style="1202"/>
  </cols>
  <sheetData>
    <row r="1" spans="1:17" s="11" customFormat="1" ht="22.5" customHeight="1">
      <c r="A1" s="1096" t="s">
        <v>1002</v>
      </c>
      <c r="B1" s="1097"/>
      <c r="C1" s="1097"/>
      <c r="D1" s="1097"/>
      <c r="E1" s="1097"/>
      <c r="F1" s="1097"/>
      <c r="G1" s="1339"/>
      <c r="H1" s="652" t="s">
        <v>143</v>
      </c>
      <c r="I1" s="51"/>
      <c r="J1" s="51"/>
      <c r="K1" s="51"/>
      <c r="L1" s="51"/>
      <c r="M1" s="51"/>
      <c r="N1" s="868"/>
      <c r="O1" s="868"/>
      <c r="P1" s="63"/>
      <c r="Q1" s="51"/>
    </row>
    <row r="2" spans="1:17" s="406" customFormat="1" ht="15" customHeight="1">
      <c r="A2" s="1210"/>
      <c r="B2" s="1210"/>
      <c r="C2" s="1210"/>
      <c r="D2" s="1210"/>
      <c r="E2" s="1210"/>
      <c r="F2" s="1210"/>
      <c r="G2" s="1210"/>
      <c r="H2" s="1210"/>
      <c r="I2" s="1211"/>
      <c r="J2" s="1211"/>
      <c r="K2" s="1211"/>
      <c r="L2" s="1211"/>
      <c r="M2" s="1211"/>
      <c r="N2" s="1212"/>
      <c r="O2" s="1212"/>
      <c r="P2" s="1213"/>
      <c r="Q2" s="1211"/>
    </row>
    <row r="3" spans="1:17" s="406" customFormat="1" ht="15" customHeight="1">
      <c r="A3" s="1214" t="s">
        <v>500</v>
      </c>
      <c r="B3" s="948">
        <v>2013</v>
      </c>
      <c r="C3" s="948">
        <v>2014</v>
      </c>
      <c r="D3" s="948">
        <v>2015</v>
      </c>
      <c r="F3" s="1210"/>
      <c r="G3" s="1210"/>
      <c r="H3" s="1210"/>
      <c r="I3" s="1211"/>
      <c r="J3" s="1211"/>
      <c r="K3" s="1211"/>
      <c r="L3" s="1211"/>
      <c r="M3" s="1211"/>
      <c r="N3" s="1212"/>
      <c r="O3" s="1212"/>
      <c r="P3" s="1213"/>
      <c r="Q3" s="1211"/>
    </row>
    <row r="4" spans="1:17" s="1215" customFormat="1" ht="15" customHeight="1">
      <c r="A4" s="1215" t="s">
        <v>936</v>
      </c>
      <c r="B4" s="880">
        <f>Parameters!O11</f>
        <v>0.11674221072489366</v>
      </c>
      <c r="C4" s="880">
        <f>Parameters!P11</f>
        <v>8.1599999999999229E-2</v>
      </c>
      <c r="D4" s="880">
        <f>Parameters!Q11</f>
        <v>3.9999999999999591E-2</v>
      </c>
      <c r="F4" s="1216"/>
      <c r="G4" s="1216"/>
      <c r="H4" s="1216"/>
      <c r="I4" s="1217"/>
      <c r="J4" s="1217"/>
      <c r="K4" s="1217"/>
      <c r="L4" s="1217"/>
      <c r="M4" s="1217"/>
      <c r="N4" s="1218"/>
      <c r="O4" s="1218"/>
      <c r="P4" s="1217"/>
      <c r="Q4" s="1217"/>
    </row>
    <row r="5" spans="1:17" ht="15" customHeight="1">
      <c r="A5" s="403"/>
      <c r="B5" s="403"/>
      <c r="C5" s="403"/>
      <c r="D5" s="403"/>
      <c r="E5" s="403"/>
      <c r="F5" s="403"/>
      <c r="G5" s="403"/>
      <c r="H5" s="403"/>
    </row>
    <row r="6" spans="1:17" s="1220" customFormat="1" ht="15" customHeight="1">
      <c r="A6" s="1214" t="s">
        <v>1161</v>
      </c>
      <c r="B6" s="1219" t="s">
        <v>516</v>
      </c>
      <c r="C6" s="1219" t="s">
        <v>517</v>
      </c>
      <c r="D6" s="1219" t="s">
        <v>527</v>
      </c>
      <c r="E6" s="1219" t="s">
        <v>523</v>
      </c>
      <c r="F6" s="1219" t="s">
        <v>496</v>
      </c>
    </row>
    <row r="7" spans="1:17" s="1224" customFormat="1" ht="15" customHeight="1">
      <c r="A7" s="1221" t="s">
        <v>1162</v>
      </c>
      <c r="B7" s="1222">
        <f>Parameters!B68</f>
        <v>0.91399999999999992</v>
      </c>
      <c r="C7" s="1222">
        <f>Parameters!C68</f>
        <v>3.3000000000000002E-2</v>
      </c>
      <c r="D7" s="1222">
        <f>Parameters!D68</f>
        <v>5.2999999999999999E-2</v>
      </c>
      <c r="E7" s="1223"/>
      <c r="F7" s="1223"/>
    </row>
    <row r="8" spans="1:17" ht="15" customHeight="1">
      <c r="A8" s="458"/>
      <c r="B8" s="886"/>
      <c r="C8" s="459"/>
      <c r="D8" s="460"/>
      <c r="E8" s="460"/>
      <c r="F8" s="460"/>
      <c r="G8" s="457"/>
      <c r="H8" s="459"/>
    </row>
    <row r="9" spans="1:17" ht="15" customHeight="1">
      <c r="A9" s="458"/>
      <c r="B9" s="886"/>
      <c r="C9" s="459"/>
      <c r="D9" s="460"/>
      <c r="E9" s="460"/>
      <c r="F9" s="460"/>
      <c r="G9" s="457"/>
      <c r="H9" s="459"/>
    </row>
    <row r="10" spans="1:17" s="1229" customFormat="1" ht="30" customHeight="1">
      <c r="A10" s="1225" t="s">
        <v>1163</v>
      </c>
      <c r="B10" s="1225"/>
      <c r="C10" s="1226"/>
      <c r="D10" s="1226"/>
      <c r="E10" s="1226"/>
      <c r="F10" s="1227"/>
      <c r="G10" s="1228"/>
      <c r="H10" s="1228"/>
    </row>
    <row r="11" spans="1:17" s="1235" customFormat="1" ht="23.25">
      <c r="A11" s="1230" t="s">
        <v>1224</v>
      </c>
      <c r="B11" s="1231"/>
      <c r="C11" s="1232"/>
      <c r="D11" s="1232"/>
      <c r="E11" s="1232"/>
      <c r="F11" s="1233"/>
      <c r="G11" s="1234"/>
      <c r="H11" s="1234"/>
    </row>
    <row r="12" spans="1:17" ht="15" customHeight="1">
      <c r="A12" s="458"/>
      <c r="B12" s="886"/>
      <c r="C12" s="459"/>
      <c r="D12" s="460"/>
      <c r="E12" s="460"/>
      <c r="F12" s="460"/>
      <c r="G12" s="457"/>
      <c r="H12" s="459"/>
    </row>
    <row r="13" spans="1:17" ht="15" customHeight="1">
      <c r="A13" s="887" t="s">
        <v>1063</v>
      </c>
      <c r="B13" s="887" t="s">
        <v>525</v>
      </c>
      <c r="C13" s="542" t="s">
        <v>1164</v>
      </c>
      <c r="D13" s="542" t="s">
        <v>1165</v>
      </c>
      <c r="F13" s="886"/>
      <c r="G13" s="456"/>
      <c r="H13" s="456"/>
    </row>
    <row r="14" spans="1:17" ht="15" customHeight="1">
      <c r="A14" s="542" t="s">
        <v>144</v>
      </c>
      <c r="B14" s="888" t="s">
        <v>145</v>
      </c>
      <c r="C14" s="1236" t="s">
        <v>1166</v>
      </c>
      <c r="D14" s="542" t="s">
        <v>1167</v>
      </c>
      <c r="F14" s="886"/>
      <c r="G14" s="456"/>
      <c r="H14" s="456"/>
    </row>
    <row r="15" spans="1:17" ht="15" customHeight="1">
      <c r="A15" s="1327">
        <v>301454</v>
      </c>
      <c r="B15" s="1328" t="s">
        <v>646</v>
      </c>
      <c r="C15" s="1390"/>
      <c r="D15" s="1390"/>
      <c r="F15" s="460"/>
      <c r="G15" s="457"/>
      <c r="H15" s="460"/>
    </row>
    <row r="16" spans="1:17" ht="15" customHeight="1">
      <c r="A16" s="1327">
        <v>301348</v>
      </c>
      <c r="B16" s="1328" t="s">
        <v>19</v>
      </c>
      <c r="C16" s="1390"/>
      <c r="D16" s="1390"/>
      <c r="F16" s="456"/>
      <c r="G16" s="456"/>
      <c r="H16" s="456"/>
    </row>
    <row r="17" spans="1:8" ht="15" customHeight="1">
      <c r="A17" s="1327">
        <v>301391</v>
      </c>
      <c r="B17" s="1328" t="s">
        <v>658</v>
      </c>
      <c r="C17" s="1390"/>
      <c r="D17" s="1390"/>
      <c r="F17" s="460"/>
      <c r="G17" s="457"/>
      <c r="H17" s="460"/>
    </row>
    <row r="18" spans="1:8" ht="15" customHeight="1">
      <c r="B18" s="1237"/>
      <c r="C18" s="1238"/>
      <c r="D18" s="1238"/>
      <c r="F18" s="456"/>
      <c r="G18" s="456"/>
      <c r="H18" s="456"/>
    </row>
    <row r="19" spans="1:8" ht="15" customHeight="1">
      <c r="C19" s="459"/>
      <c r="D19" s="459"/>
      <c r="F19" s="459"/>
      <c r="G19" s="457"/>
      <c r="H19" s="459"/>
    </row>
    <row r="20" spans="1:8" ht="15" customHeight="1">
      <c r="A20" s="887" t="s">
        <v>1063</v>
      </c>
      <c r="B20" s="1239" t="s">
        <v>525</v>
      </c>
      <c r="C20" s="542" t="s">
        <v>1164</v>
      </c>
      <c r="D20" s="542" t="s">
        <v>1165</v>
      </c>
      <c r="H20" s="456"/>
    </row>
    <row r="21" spans="1:8" ht="15" customHeight="1">
      <c r="A21" s="542" t="s">
        <v>144</v>
      </c>
      <c r="B21" s="888" t="s">
        <v>145</v>
      </c>
      <c r="C21" s="1236" t="s">
        <v>1168</v>
      </c>
      <c r="D21" s="1236" t="s">
        <v>1168</v>
      </c>
      <c r="H21" s="459"/>
    </row>
    <row r="22" spans="1:8" ht="15" customHeight="1">
      <c r="A22" s="1327">
        <v>301454</v>
      </c>
      <c r="B22" s="1328" t="s">
        <v>646</v>
      </c>
      <c r="C22" s="1356"/>
      <c r="D22" s="1356"/>
      <c r="H22" s="456"/>
    </row>
    <row r="23" spans="1:8" ht="15" customHeight="1">
      <c r="A23" s="1327">
        <v>301348</v>
      </c>
      <c r="B23" s="1328" t="s">
        <v>19</v>
      </c>
      <c r="C23" s="1356"/>
      <c r="D23" s="1356"/>
      <c r="H23" s="461"/>
    </row>
    <row r="24" spans="1:8" ht="15" customHeight="1">
      <c r="A24" s="1327">
        <v>301391</v>
      </c>
      <c r="B24" s="1328" t="s">
        <v>658</v>
      </c>
      <c r="C24" s="1356"/>
      <c r="D24" s="1356"/>
    </row>
    <row r="25" spans="1:8" ht="15" customHeight="1">
      <c r="B25" s="1237"/>
      <c r="C25" s="1238"/>
      <c r="D25" s="1238"/>
      <c r="E25" s="1333"/>
    </row>
    <row r="26" spans="1:8" ht="15" customHeight="1">
      <c r="A26" s="887" t="s">
        <v>1063</v>
      </c>
      <c r="B26" s="1239" t="s">
        <v>525</v>
      </c>
      <c r="C26" s="542" t="s">
        <v>1169</v>
      </c>
      <c r="H26" s="456"/>
    </row>
    <row r="27" spans="1:8" ht="15" customHeight="1">
      <c r="A27" s="542" t="s">
        <v>144</v>
      </c>
      <c r="B27" s="888" t="s">
        <v>145</v>
      </c>
      <c r="C27" s="1236" t="s">
        <v>1170</v>
      </c>
      <c r="H27" s="459"/>
    </row>
    <row r="28" spans="1:8" ht="15" customHeight="1">
      <c r="A28" s="1327">
        <v>301454</v>
      </c>
      <c r="B28" s="1328" t="s">
        <v>646</v>
      </c>
      <c r="C28" s="1357"/>
      <c r="H28" s="456"/>
    </row>
    <row r="29" spans="1:8" ht="15" customHeight="1">
      <c r="A29" s="1327">
        <v>301348</v>
      </c>
      <c r="B29" s="1328" t="s">
        <v>19</v>
      </c>
      <c r="C29" s="1357"/>
      <c r="D29" s="1240"/>
      <c r="E29" s="1240"/>
      <c r="H29" s="461"/>
    </row>
    <row r="30" spans="1:8" ht="15" customHeight="1">
      <c r="A30" s="1327">
        <v>301391</v>
      </c>
      <c r="B30" s="1328" t="s">
        <v>658</v>
      </c>
      <c r="C30" s="1357"/>
      <c r="D30" s="1240"/>
      <c r="E30" s="1240"/>
    </row>
    <row r="31" spans="1:8" ht="15" customHeight="1">
      <c r="B31" s="1202" t="s">
        <v>1194</v>
      </c>
      <c r="C31" s="1268">
        <v>853094.78304745979</v>
      </c>
      <c r="D31" s="1240"/>
      <c r="E31" s="1337"/>
    </row>
    <row r="33" spans="1:8" s="1229" customFormat="1" ht="30" customHeight="1">
      <c r="A33" s="1225" t="s">
        <v>1171</v>
      </c>
      <c r="B33" s="1225"/>
      <c r="C33" s="1226"/>
      <c r="D33" s="1226"/>
      <c r="E33" s="1226"/>
      <c r="F33" s="1226"/>
      <c r="G33" s="1226"/>
      <c r="H33" s="1226"/>
    </row>
    <row r="34" spans="1:8" s="1235" customFormat="1" ht="23.25">
      <c r="A34" s="1230" t="s">
        <v>1172</v>
      </c>
      <c r="B34" s="1231"/>
      <c r="C34" s="1232"/>
      <c r="D34" s="1232"/>
      <c r="E34" s="1232"/>
      <c r="F34" s="1232"/>
      <c r="G34" s="1232"/>
      <c r="H34" s="1232"/>
    </row>
    <row r="35" spans="1:8" s="1224" customFormat="1" ht="15" customHeight="1">
      <c r="A35" s="1241"/>
      <c r="B35" s="1242"/>
      <c r="C35" s="1242"/>
      <c r="D35" s="1242"/>
      <c r="E35" s="1242"/>
      <c r="F35" s="1242"/>
      <c r="G35" s="1242"/>
      <c r="H35" s="1242"/>
    </row>
    <row r="36" spans="1:8" s="1224" customFormat="1" ht="20.25">
      <c r="A36" s="1243" t="s">
        <v>1173</v>
      </c>
      <c r="B36" s="1244"/>
      <c r="C36" s="1244"/>
      <c r="D36" s="1245" t="s">
        <v>516</v>
      </c>
      <c r="E36" s="1245" t="s">
        <v>517</v>
      </c>
      <c r="F36" s="1245" t="s">
        <v>527</v>
      </c>
      <c r="G36" s="1245" t="s">
        <v>523</v>
      </c>
      <c r="H36" s="1245" t="s">
        <v>496</v>
      </c>
    </row>
    <row r="37" spans="1:8" s="1224" customFormat="1" ht="15" customHeight="1">
      <c r="A37" s="1241"/>
      <c r="B37" s="1242"/>
      <c r="C37" s="1242"/>
      <c r="D37" s="1242"/>
      <c r="E37" s="1242"/>
      <c r="F37" s="1242"/>
      <c r="G37" s="1242"/>
      <c r="H37" s="1242"/>
    </row>
    <row r="38" spans="1:8" s="1224" customFormat="1" ht="15" customHeight="1">
      <c r="A38" s="1246" t="s">
        <v>1174</v>
      </c>
      <c r="B38" s="1244"/>
      <c r="C38" s="1244"/>
      <c r="D38" s="1245" t="s">
        <v>516</v>
      </c>
      <c r="E38" s="1245" t="s">
        <v>517</v>
      </c>
      <c r="F38" s="1245" t="s">
        <v>527</v>
      </c>
      <c r="G38" s="1245" t="s">
        <v>523</v>
      </c>
      <c r="H38" s="1245" t="s">
        <v>496</v>
      </c>
    </row>
    <row r="39" spans="1:8" s="1224" customFormat="1" ht="15" customHeight="1">
      <c r="A39" s="1247"/>
      <c r="B39" s="1248"/>
      <c r="C39" s="1248"/>
      <c r="D39" s="1248"/>
      <c r="E39" s="1248"/>
      <c r="F39" s="1248"/>
      <c r="G39" s="1248"/>
      <c r="H39" s="1248"/>
    </row>
    <row r="40" spans="1:8" s="1224" customFormat="1" ht="15" customHeight="1">
      <c r="A40" s="1249" t="s">
        <v>1175</v>
      </c>
      <c r="B40" s="1250"/>
      <c r="C40" s="1251"/>
      <c r="D40" s="1252"/>
      <c r="E40" s="1252"/>
      <c r="F40" s="1252"/>
      <c r="G40" s="1252"/>
      <c r="H40" s="1252"/>
    </row>
    <row r="41" spans="1:8" s="1224" customFormat="1" ht="15" customHeight="1">
      <c r="A41" s="1253" t="s">
        <v>1176</v>
      </c>
      <c r="B41" s="1251" t="s">
        <v>1166</v>
      </c>
      <c r="C41" s="1334">
        <v>1099090.0606926</v>
      </c>
      <c r="D41" s="1254">
        <f>$C41*(B$7+$D$7)</f>
        <v>1062820.0886897442</v>
      </c>
      <c r="E41" s="1254">
        <f>$C41*C$7</f>
        <v>36269.9720028558</v>
      </c>
      <c r="F41" s="300">
        <v>0</v>
      </c>
      <c r="G41" s="1223"/>
      <c r="H41" s="300">
        <v>0</v>
      </c>
    </row>
    <row r="42" spans="1:8" s="1224" customFormat="1" ht="15" customHeight="1">
      <c r="A42" s="1221" t="s">
        <v>1177</v>
      </c>
      <c r="B42" s="1251" t="s">
        <v>1170</v>
      </c>
      <c r="C42" s="1251"/>
      <c r="D42" s="1254">
        <f>D41*(1+$C$4)</f>
        <v>1149546.2079268266</v>
      </c>
      <c r="E42" s="1254">
        <f t="shared" ref="E42:F42" si="0">E41*(1+$C$4)</f>
        <v>39229.601718288803</v>
      </c>
      <c r="F42" s="1254">
        <f t="shared" si="0"/>
        <v>0</v>
      </c>
      <c r="G42" s="1223"/>
      <c r="H42" s="1254">
        <f>H41*(1+$C$4)</f>
        <v>0</v>
      </c>
    </row>
    <row r="43" spans="1:8" s="1224" customFormat="1" ht="15" customHeight="1">
      <c r="A43" s="1221" t="s">
        <v>1223</v>
      </c>
      <c r="B43" s="1251" t="s">
        <v>1170</v>
      </c>
      <c r="C43" s="1251"/>
      <c r="D43" s="1002">
        <f>Parameters!B84</f>
        <v>854760619.38343453</v>
      </c>
      <c r="E43" s="1002">
        <f>Parameters!C83</f>
        <v>31110941.808018349</v>
      </c>
      <c r="F43" s="1002">
        <f>Parameters!D83</f>
        <v>48526232.305103332</v>
      </c>
      <c r="G43" s="1255"/>
      <c r="H43" s="1002">
        <f>Parameters!F83</f>
        <v>77307604.879740357</v>
      </c>
    </row>
    <row r="44" spans="1:8" s="1224" customFormat="1" ht="15" customHeight="1">
      <c r="A44" s="1249" t="s">
        <v>1178</v>
      </c>
      <c r="B44" s="1251" t="s">
        <v>1179</v>
      </c>
      <c r="C44" s="1251"/>
      <c r="D44" s="1256">
        <f>IFERROR(D42/D43,0)</f>
        <v>1.3448750233205995E-3</v>
      </c>
      <c r="E44" s="1256">
        <f>IFERROR(E42/E43,0)</f>
        <v>1.2609583457926046E-3</v>
      </c>
      <c r="F44" s="1256">
        <f>IFERROR(F42/F43,0)</f>
        <v>0</v>
      </c>
      <c r="G44" s="1223"/>
      <c r="H44" s="1256">
        <f>IFERROR(H42/H43,0)</f>
        <v>0</v>
      </c>
    </row>
    <row r="45" spans="1:8" s="1224" customFormat="1" ht="15" customHeight="1">
      <c r="A45" s="385"/>
      <c r="B45" s="1338"/>
      <c r="C45" s="1338"/>
      <c r="D45" s="386"/>
      <c r="E45" s="386"/>
      <c r="F45" s="386"/>
      <c r="G45" s="386"/>
      <c r="H45" s="386"/>
    </row>
    <row r="46" spans="1:8" ht="15" customHeight="1">
      <c r="A46" s="1148"/>
      <c r="B46" s="1148"/>
      <c r="C46" s="1148"/>
      <c r="D46" s="1148"/>
      <c r="E46" s="1148"/>
      <c r="F46" s="1148"/>
      <c r="G46" s="1148"/>
      <c r="H46" s="1148"/>
    </row>
  </sheetData>
  <phoneticPr fontId="21" type="noConversion"/>
  <pageMargins left="0.23622047244094491" right="0.23622047244094491" top="0.74803149606299213" bottom="0.74803149606299213" header="0.31496062992125984" footer="0.31496062992125984"/>
  <pageSetup paperSize="8" scale="72" orientation="landscape" r:id="rId1"/>
  <headerFooter alignWithMargins="0">
    <oddFooter>&amp;C&amp;A&amp;R&amp;P/&amp;N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80"/>
  </sheetPr>
  <dimension ref="A1"/>
  <sheetViews>
    <sheetView showGridLines="0" view="pageBreakPreview" zoomScale="70" zoomScaleNormal="70" zoomScaleSheetLayoutView="70" workbookViewId="0"/>
  </sheetViews>
  <sheetFormatPr defaultRowHeight="12.7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J78"/>
  <sheetViews>
    <sheetView showGridLines="0" zoomScale="70" zoomScaleNormal="70" zoomScaleSheetLayoutView="70" workbookViewId="0">
      <pane ySplit="4" topLeftCell="A5" activePane="bottomLeft" state="frozen"/>
      <selection activeCell="C94" sqref="C94"/>
      <selection pane="bottomLeft"/>
    </sheetView>
  </sheetViews>
  <sheetFormatPr defaultRowHeight="12.75"/>
  <cols>
    <col min="1" max="1" width="8.7109375" bestFit="1" customWidth="1"/>
    <col min="2" max="2" width="51.28515625" bestFit="1" customWidth="1"/>
    <col min="3" max="3" width="2.7109375" style="101" customWidth="1"/>
    <col min="4" max="4" width="15.28515625" style="21" customWidth="1"/>
    <col min="5" max="5" width="2" customWidth="1"/>
    <col min="6" max="6" width="23.5703125" style="101" customWidth="1"/>
    <col min="7" max="8" width="23.5703125" style="80" customWidth="1"/>
    <col min="9" max="9" width="2" style="101" customWidth="1"/>
    <col min="10" max="10" width="16.5703125" style="101" customWidth="1"/>
    <col min="11" max="11" width="16.28515625" style="101" customWidth="1"/>
    <col min="12" max="12" width="14.7109375" style="101" customWidth="1"/>
    <col min="13" max="13" width="19.85546875" style="101" customWidth="1"/>
    <col min="14" max="14" width="19.140625" customWidth="1"/>
    <col min="15" max="15" width="1.7109375" customWidth="1"/>
    <col min="16" max="24" width="14.7109375" style="101" customWidth="1"/>
    <col min="25" max="25" width="1.7109375" style="101" customWidth="1"/>
    <col min="26" max="26" width="14.85546875" customWidth="1"/>
    <col min="27" max="27" width="2.42578125" style="21" customWidth="1"/>
    <col min="28" max="28" width="15" style="80" bestFit="1" customWidth="1"/>
    <col min="29" max="29" width="14.85546875" style="80" customWidth="1"/>
    <col min="30" max="30" width="16" style="80" customWidth="1"/>
    <col min="31" max="31" width="2.7109375" style="89" customWidth="1"/>
    <col min="32" max="32" width="19.28515625" style="89" customWidth="1"/>
    <col min="33" max="33" width="16.85546875" style="80" bestFit="1" customWidth="1"/>
    <col min="34" max="34" width="19.42578125" style="80" customWidth="1"/>
    <col min="35" max="35" width="2.140625" style="80" customWidth="1"/>
    <col min="36" max="36" width="44" bestFit="1" customWidth="1"/>
  </cols>
  <sheetData>
    <row r="1" spans="1:36" s="11" customFormat="1" ht="23.25" customHeight="1">
      <c r="A1" s="9" t="s">
        <v>561</v>
      </c>
      <c r="B1" s="9"/>
      <c r="C1" s="959"/>
      <c r="D1" s="12"/>
      <c r="E1" s="12"/>
      <c r="F1" s="12"/>
      <c r="G1" s="234"/>
      <c r="H1" s="234"/>
      <c r="I1" s="959"/>
      <c r="J1" s="959"/>
      <c r="K1" s="959"/>
      <c r="L1" s="959"/>
      <c r="M1" s="959"/>
      <c r="N1" s="12"/>
      <c r="O1" s="12"/>
      <c r="P1" s="959"/>
      <c r="Q1" s="651"/>
      <c r="R1" s="651"/>
      <c r="S1" s="651"/>
      <c r="T1" s="651"/>
      <c r="U1" s="651"/>
      <c r="V1" s="651"/>
      <c r="W1" s="651"/>
      <c r="X1" s="12"/>
      <c r="Y1" s="799"/>
      <c r="Z1" s="473"/>
      <c r="AA1" s="473"/>
      <c r="AB1" s="473"/>
      <c r="AC1" s="473"/>
      <c r="AD1" s="473"/>
      <c r="AE1" s="808"/>
      <c r="AF1" s="808"/>
      <c r="AG1" s="473"/>
      <c r="AH1" s="611" t="s">
        <v>143</v>
      </c>
      <c r="AI1" s="51"/>
    </row>
    <row r="2" spans="1:36">
      <c r="D2"/>
      <c r="Z2" s="22"/>
      <c r="AA2" s="22"/>
      <c r="AB2" s="108"/>
      <c r="AC2" s="108"/>
      <c r="AD2" s="108"/>
      <c r="AE2" s="102"/>
      <c r="AF2" s="102"/>
      <c r="AG2" s="108"/>
      <c r="AH2" s="108"/>
      <c r="AI2" s="108"/>
    </row>
    <row r="3" spans="1:36" s="101" customFormat="1" ht="15" customHeight="1">
      <c r="A3" s="146" t="s">
        <v>144</v>
      </c>
      <c r="B3" s="146" t="s">
        <v>145</v>
      </c>
      <c r="C3" s="982"/>
      <c r="D3" s="146" t="s">
        <v>727</v>
      </c>
      <c r="E3" s="21"/>
      <c r="F3" s="1449" t="s">
        <v>1081</v>
      </c>
      <c r="G3" s="1449"/>
      <c r="H3" s="1449"/>
      <c r="I3" s="21"/>
      <c r="J3" s="1450" t="s">
        <v>977</v>
      </c>
      <c r="K3" s="1450"/>
      <c r="L3" s="1450"/>
      <c r="M3" s="1450"/>
      <c r="N3" s="1450"/>
      <c r="P3" s="1451" t="s">
        <v>967</v>
      </c>
      <c r="Q3" s="1451"/>
      <c r="R3" s="1451"/>
      <c r="S3" s="1451"/>
      <c r="T3" s="1451"/>
      <c r="U3" s="1451"/>
      <c r="V3" s="1451"/>
      <c r="W3" s="1451"/>
      <c r="X3" s="1451"/>
      <c r="Z3" s="424" t="s">
        <v>968</v>
      </c>
      <c r="AA3" s="1011"/>
      <c r="AB3" s="1448" t="s">
        <v>979</v>
      </c>
      <c r="AC3" s="1448"/>
      <c r="AD3" s="1448"/>
      <c r="AE3" s="1009"/>
      <c r="AF3" s="1448" t="s">
        <v>968</v>
      </c>
      <c r="AG3" s="1448"/>
      <c r="AH3" s="1448"/>
      <c r="AI3" s="1009"/>
    </row>
    <row r="4" spans="1:36" s="383" customFormat="1" ht="55.5" customHeight="1">
      <c r="A4" s="1006"/>
      <c r="B4" s="1006"/>
      <c r="C4" s="1021"/>
      <c r="D4" s="1005"/>
      <c r="E4" s="1007"/>
      <c r="F4" s="1005" t="s">
        <v>987</v>
      </c>
      <c r="G4" s="1005" t="s">
        <v>988</v>
      </c>
      <c r="H4" s="1005" t="s">
        <v>1057</v>
      </c>
      <c r="I4" s="1007"/>
      <c r="J4" s="1008" t="s">
        <v>135</v>
      </c>
      <c r="K4" s="1008" t="s">
        <v>136</v>
      </c>
      <c r="L4" s="1008" t="s">
        <v>133</v>
      </c>
      <c r="M4" s="1008" t="s">
        <v>134</v>
      </c>
      <c r="N4" s="1005" t="s">
        <v>980</v>
      </c>
      <c r="O4" s="980"/>
      <c r="P4" s="1005" t="s">
        <v>978</v>
      </c>
      <c r="Q4" s="1005" t="s">
        <v>960</v>
      </c>
      <c r="R4" s="1005" t="s">
        <v>961</v>
      </c>
      <c r="S4" s="1005" t="s">
        <v>962</v>
      </c>
      <c r="T4" s="1005" t="s">
        <v>963</v>
      </c>
      <c r="U4" s="1005" t="s">
        <v>964</v>
      </c>
      <c r="V4" s="1005" t="s">
        <v>965</v>
      </c>
      <c r="W4" s="1005" t="s">
        <v>966</v>
      </c>
      <c r="X4" s="1005" t="s">
        <v>551</v>
      </c>
      <c r="Y4" s="982"/>
      <c r="Z4" s="1005" t="s">
        <v>981</v>
      </c>
      <c r="AA4" s="1007"/>
      <c r="AB4" s="1005" t="s">
        <v>552</v>
      </c>
      <c r="AC4" s="1005" t="s">
        <v>982</v>
      </c>
      <c r="AD4" s="1005" t="s">
        <v>983</v>
      </c>
      <c r="AE4" s="1007"/>
      <c r="AF4" s="1018" t="s">
        <v>984</v>
      </c>
      <c r="AG4" s="1018" t="s">
        <v>985</v>
      </c>
      <c r="AH4" s="1005" t="s">
        <v>986</v>
      </c>
      <c r="AI4" s="1007"/>
    </row>
    <row r="5" spans="1:36" s="65" customFormat="1" ht="15">
      <c r="A5" s="17"/>
      <c r="B5" s="17"/>
      <c r="C5" s="17"/>
      <c r="D5" s="776">
        <v>320683142.87025899</v>
      </c>
      <c r="E5" s="18"/>
      <c r="F5" s="88"/>
      <c r="G5" s="1038">
        <f>Parameters!B65-Parameters!B18</f>
        <v>0.9516</v>
      </c>
      <c r="H5" s="778">
        <f>TAR_Tab_3_Tariefaanpassing!D24</f>
        <v>1.0233710055185086</v>
      </c>
      <c r="I5" s="18"/>
      <c r="J5" s="997">
        <v>0.95</v>
      </c>
      <c r="K5" s="997">
        <v>1.05</v>
      </c>
      <c r="L5" s="998"/>
      <c r="M5" s="998"/>
      <c r="N5" s="998"/>
      <c r="O5" s="18"/>
      <c r="P5" s="1015">
        <f>'TAR_Tab_4_Cor. verdeelsleutel'!B23</f>
        <v>-4.6377858861030241E-2</v>
      </c>
      <c r="Q5" s="1014">
        <f>'TAR_Tab 5_UI'!B224</f>
        <v>4.798872587527394E-2</v>
      </c>
      <c r="R5" s="1014">
        <f>'TAR_Tab 6_NPD'!B35</f>
        <v>0</v>
      </c>
      <c r="S5" s="1014">
        <f>'TAR_Tab 7_MFA '!B51</f>
        <v>1.8078553718314542E-3</v>
      </c>
      <c r="T5" s="1015">
        <f>'TAR-Tab_8_Nacalculaties 14-16'!B14</f>
        <v>4.1869587237236348E-2</v>
      </c>
      <c r="U5" s="1015">
        <f>'TAR-Tab_8_Nacalculaties 14-16'!B22</f>
        <v>-5.4794978106717943E-3</v>
      </c>
      <c r="V5" s="1015">
        <f>'TAR-Tab_8_Nacalculaties 14-16'!B34</f>
        <v>-2.0614489437651174E-4</v>
      </c>
      <c r="W5" s="1015">
        <f>'TAR-Tab_8_Nacalculaties 14-16'!B49</f>
        <v>-1.704456868580299E-2</v>
      </c>
      <c r="X5" s="1015">
        <f>'TAR-Tab 10_incidenteel'!D44</f>
        <v>1.3448750233205995E-3</v>
      </c>
      <c r="Y5" s="18"/>
      <c r="Z5" s="18"/>
      <c r="AA5" s="18"/>
      <c r="AB5" s="464"/>
      <c r="AC5" s="779">
        <v>0.75</v>
      </c>
      <c r="AD5" s="677">
        <f>'TAR_Tab 12_Exittarieven'!AD564</f>
        <v>6.729112696121331E-2</v>
      </c>
      <c r="AE5" s="1010"/>
      <c r="AF5" s="1010"/>
      <c r="AG5" s="38"/>
      <c r="AH5" s="38"/>
      <c r="AI5" s="38"/>
    </row>
    <row r="6" spans="1:36" s="65" customFormat="1" ht="15">
      <c r="A6" s="16"/>
      <c r="B6" s="16"/>
      <c r="C6" s="17"/>
      <c r="D6" s="1008" t="s">
        <v>621</v>
      </c>
      <c r="E6" s="1023"/>
      <c r="F6" s="1008" t="s">
        <v>624</v>
      </c>
      <c r="G6" s="1008" t="s">
        <v>624</v>
      </c>
      <c r="H6" s="1008" t="s">
        <v>624</v>
      </c>
      <c r="I6" s="18"/>
      <c r="J6" s="1008" t="s">
        <v>624</v>
      </c>
      <c r="K6" s="1008" t="s">
        <v>624</v>
      </c>
      <c r="L6" s="1008" t="s">
        <v>624</v>
      </c>
      <c r="M6" s="784"/>
      <c r="N6" s="1008" t="s">
        <v>624</v>
      </c>
      <c r="O6" s="18"/>
      <c r="P6" s="1133" t="s">
        <v>624</v>
      </c>
      <c r="Q6" s="1133" t="s">
        <v>624</v>
      </c>
      <c r="R6" s="1133" t="s">
        <v>624</v>
      </c>
      <c r="S6" s="1133" t="s">
        <v>624</v>
      </c>
      <c r="T6" s="1133" t="s">
        <v>624</v>
      </c>
      <c r="U6" s="1133" t="s">
        <v>624</v>
      </c>
      <c r="V6" s="1133" t="s">
        <v>624</v>
      </c>
      <c r="W6" s="1133" t="s">
        <v>624</v>
      </c>
      <c r="X6" s="1133" t="s">
        <v>624</v>
      </c>
      <c r="Y6" s="18"/>
      <c r="Z6" s="1008" t="s">
        <v>624</v>
      </c>
      <c r="AA6" s="985"/>
      <c r="AB6" s="1026" t="s">
        <v>577</v>
      </c>
      <c r="AC6" s="1008" t="s">
        <v>624</v>
      </c>
      <c r="AD6" s="1008" t="s">
        <v>624</v>
      </c>
      <c r="AE6" s="1025"/>
      <c r="AF6" s="1008" t="s">
        <v>624</v>
      </c>
      <c r="AG6" s="1008" t="s">
        <v>624</v>
      </c>
      <c r="AH6" s="1008" t="s">
        <v>624</v>
      </c>
      <c r="AI6" s="985"/>
    </row>
    <row r="7" spans="1:36">
      <c r="A7" s="648">
        <v>300131</v>
      </c>
      <c r="B7" s="777" t="s">
        <v>33</v>
      </c>
      <c r="C7" s="1022"/>
      <c r="D7" s="1392"/>
      <c r="E7" s="740"/>
      <c r="F7" s="1016">
        <v>0.99863408226450256</v>
      </c>
      <c r="G7" s="739">
        <f>F7*$G$5</f>
        <v>0.95030019268290067</v>
      </c>
      <c r="H7" s="739">
        <f t="shared" ref="H7:H38" si="0">G7*$H$5</f>
        <v>0.97250966373033254</v>
      </c>
      <c r="I7" s="740"/>
      <c r="J7" s="741">
        <f t="shared" ref="J7:J38" si="1">H7*$J$5</f>
        <v>0.92388418054381583</v>
      </c>
      <c r="K7" s="741">
        <f t="shared" ref="K7:K38" si="2">H7*$K$5</f>
        <v>1.0211351469168493</v>
      </c>
      <c r="L7" s="1314">
        <v>0.98002844625786334</v>
      </c>
      <c r="M7" s="66" t="b">
        <f>IF(L7&gt;0,AND(L7&gt;=J7,L7&lt;=K7),"")</f>
        <v>1</v>
      </c>
      <c r="N7" s="734">
        <f>IF(L7&gt;0,L7,H7)</f>
        <v>0.98002844625786334</v>
      </c>
      <c r="P7" s="1134">
        <f t="shared" ref="P7:X16" si="3">$N7*P$5</f>
        <v>-4.545162096034195E-2</v>
      </c>
      <c r="Q7" s="1134">
        <f t="shared" si="3"/>
        <v>4.7030316457439242E-2</v>
      </c>
      <c r="R7" s="1134">
        <f t="shared" si="3"/>
        <v>0</v>
      </c>
      <c r="S7" s="1134">
        <f t="shared" si="3"/>
        <v>1.7717496911149118E-3</v>
      </c>
      <c r="T7" s="1134">
        <f t="shared" si="3"/>
        <v>4.1033386525566803E-2</v>
      </c>
      <c r="U7" s="1134">
        <f t="shared" si="3"/>
        <v>-5.3700637256660425E-3</v>
      </c>
      <c r="V7" s="1134">
        <f t="shared" si="3"/>
        <v>-2.0202786053980415E-4</v>
      </c>
      <c r="W7" s="1134">
        <f t="shared" si="3"/>
        <v>-1.6704162166282937E-2</v>
      </c>
      <c r="X7" s="1134">
        <f t="shared" si="3"/>
        <v>1.3180157795158948E-3</v>
      </c>
      <c r="Z7" s="735">
        <f>N7+SUM(P7:X7)</f>
        <v>1.0034540399986696</v>
      </c>
      <c r="AA7" s="1012"/>
      <c r="AB7" s="463">
        <f>IF('TAR_Tab 2_Volumina'!R10="storage",1,0)</f>
        <v>0</v>
      </c>
      <c r="AC7" s="736">
        <f>IF(AB7=1,Z7*$AC$5,Z7)</f>
        <v>1.0034540399986696</v>
      </c>
      <c r="AD7" s="736">
        <f>IF(AB7=0,AC7*(1+$AD$5),AC7)</f>
        <v>1.0709775932039625</v>
      </c>
      <c r="AE7" s="1020"/>
      <c r="AF7" s="1019">
        <f>AD7</f>
        <v>1.0709775932039625</v>
      </c>
      <c r="AG7" s="737">
        <f>ROUND(AD7,3)</f>
        <v>1.071</v>
      </c>
      <c r="AH7" s="737">
        <f>AG7+'TAR_Tab 14_Overige tarieven'!$AA$14+'TAR_Tab 14_Overige tarieven'!$AA$15</f>
        <v>1.2509999999999999</v>
      </c>
      <c r="AI7" s="1315"/>
      <c r="AJ7" s="22"/>
    </row>
    <row r="8" spans="1:36">
      <c r="A8" s="644">
        <v>300132</v>
      </c>
      <c r="B8" s="1286" t="s">
        <v>749</v>
      </c>
      <c r="C8" s="1022"/>
      <c r="D8" s="1392"/>
      <c r="E8" s="740"/>
      <c r="F8" s="1017">
        <v>1.3850299568455653</v>
      </c>
      <c r="G8" s="739">
        <f t="shared" ref="G8:G38" si="4">F8*$G$5</f>
        <v>1.31799450693424</v>
      </c>
      <c r="H8" s="739">
        <f t="shared" si="0"/>
        <v>1.3487973638291642</v>
      </c>
      <c r="I8" s="740"/>
      <c r="J8" s="741">
        <f t="shared" si="1"/>
        <v>1.2813574956377058</v>
      </c>
      <c r="K8" s="741">
        <f t="shared" si="2"/>
        <v>1.4162372320206225</v>
      </c>
      <c r="L8" s="1314">
        <v>1.3592253466354618</v>
      </c>
      <c r="M8" s="66" t="b">
        <f t="shared" ref="M8:M67" si="5">IF(L8&gt;0,AND(L8&gt;=J8,L8&lt;=K8),"")</f>
        <v>1</v>
      </c>
      <c r="N8" s="734">
        <f>IF(L8&gt;0,L8,H8)</f>
        <v>1.3592253466354618</v>
      </c>
      <c r="P8" s="1134">
        <f t="shared" si="3"/>
        <v>-6.3037961286594349E-2</v>
      </c>
      <c r="Q8" s="1134">
        <f t="shared" si="3"/>
        <v>6.5227492562413378E-2</v>
      </c>
      <c r="R8" s="1134">
        <f t="shared" si="3"/>
        <v>0</v>
      </c>
      <c r="S8" s="1134">
        <f t="shared" si="3"/>
        <v>2.4572828444443902E-3</v>
      </c>
      <c r="T8" s="1134">
        <f t="shared" si="3"/>
        <v>5.6910204226016281E-2</v>
      </c>
      <c r="U8" s="1134">
        <f t="shared" si="3"/>
        <v>-7.4478723110986238E-3</v>
      </c>
      <c r="V8" s="1134">
        <f t="shared" si="3"/>
        <v>-2.8019736551604483E-4</v>
      </c>
      <c r="W8" s="1134">
        <f t="shared" si="3"/>
        <v>-2.3167409780212506E-2</v>
      </c>
      <c r="X8" s="1134">
        <f t="shared" si="3"/>
        <v>1.8279882197543165E-3</v>
      </c>
      <c r="Z8" s="735">
        <f t="shared" ref="Z8:Z71" si="6">N8+SUM(P8:X8)</f>
        <v>1.3917148737446687</v>
      </c>
      <c r="AA8" s="1012"/>
      <c r="AB8" s="463">
        <f>IF('TAR_Tab 2_Volumina'!R11="storage",1,0)</f>
        <v>0</v>
      </c>
      <c r="AC8" s="736">
        <f t="shared" ref="AC8:AC71" si="7">IF(AB8=1,Z8*$AC$5,Z8)</f>
        <v>1.3917148737446687</v>
      </c>
      <c r="AD8" s="736">
        <f t="shared" ref="AD8:AD71" si="8">IF(AB8=0,AC8*(1+$AD$5),AC8)</f>
        <v>1.4853649360076302</v>
      </c>
      <c r="AE8" s="1020"/>
      <c r="AF8" s="1019">
        <f t="shared" ref="AF8:AF71" si="9">AD8</f>
        <v>1.4853649360076302</v>
      </c>
      <c r="AG8" s="737">
        <f t="shared" ref="AG8:AG71" si="10">ROUND(AD8,3)</f>
        <v>1.4850000000000001</v>
      </c>
      <c r="AH8" s="738">
        <f>AG8+'TAR_Tab 14_Overige tarieven'!$AA$14+'TAR_Tab 14_Overige tarieven'!$AA$15</f>
        <v>1.665</v>
      </c>
      <c r="AI8" s="1315"/>
      <c r="AJ8" s="22"/>
    </row>
    <row r="9" spans="1:36">
      <c r="A9" s="644">
        <v>300133</v>
      </c>
      <c r="B9" s="1286" t="s">
        <v>750</v>
      </c>
      <c r="C9" s="1022"/>
      <c r="D9" s="1392"/>
      <c r="E9" s="740"/>
      <c r="F9" s="1017">
        <v>1.3850299568455653</v>
      </c>
      <c r="G9" s="739">
        <f t="shared" si="4"/>
        <v>1.31799450693424</v>
      </c>
      <c r="H9" s="739">
        <f t="shared" si="0"/>
        <v>1.3487973638291642</v>
      </c>
      <c r="I9" s="740"/>
      <c r="J9" s="741">
        <f t="shared" si="1"/>
        <v>1.2813574956377058</v>
      </c>
      <c r="K9" s="741">
        <f t="shared" si="2"/>
        <v>1.4162372320206225</v>
      </c>
      <c r="L9" s="1314">
        <v>1.3592253466354618</v>
      </c>
      <c r="M9" s="66" t="b">
        <f t="shared" si="5"/>
        <v>1</v>
      </c>
      <c r="N9" s="734">
        <f t="shared" ref="N9:N38" si="11">IF(L9&gt;0,L9,H9)</f>
        <v>1.3592253466354618</v>
      </c>
      <c r="P9" s="1134">
        <f t="shared" si="3"/>
        <v>-6.3037961286594349E-2</v>
      </c>
      <c r="Q9" s="1134">
        <f t="shared" si="3"/>
        <v>6.5227492562413378E-2</v>
      </c>
      <c r="R9" s="1134">
        <f t="shared" si="3"/>
        <v>0</v>
      </c>
      <c r="S9" s="1134">
        <f t="shared" si="3"/>
        <v>2.4572828444443902E-3</v>
      </c>
      <c r="T9" s="1134">
        <f t="shared" si="3"/>
        <v>5.6910204226016281E-2</v>
      </c>
      <c r="U9" s="1134">
        <f t="shared" si="3"/>
        <v>-7.4478723110986238E-3</v>
      </c>
      <c r="V9" s="1134">
        <f t="shared" si="3"/>
        <v>-2.8019736551604483E-4</v>
      </c>
      <c r="W9" s="1134">
        <f t="shared" si="3"/>
        <v>-2.3167409780212506E-2</v>
      </c>
      <c r="X9" s="1134">
        <f t="shared" si="3"/>
        <v>1.8279882197543165E-3</v>
      </c>
      <c r="Z9" s="735">
        <f t="shared" si="6"/>
        <v>1.3917148737446687</v>
      </c>
      <c r="AA9" s="1012"/>
      <c r="AB9" s="463">
        <f>IF('TAR_Tab 2_Volumina'!R12="storage",1,0)</f>
        <v>0</v>
      </c>
      <c r="AC9" s="736">
        <f t="shared" si="7"/>
        <v>1.3917148737446687</v>
      </c>
      <c r="AD9" s="736">
        <f t="shared" si="8"/>
        <v>1.4853649360076302</v>
      </c>
      <c r="AE9" s="1020"/>
      <c r="AF9" s="1019">
        <f t="shared" si="9"/>
        <v>1.4853649360076302</v>
      </c>
      <c r="AG9" s="737">
        <f t="shared" si="10"/>
        <v>1.4850000000000001</v>
      </c>
      <c r="AH9" s="738">
        <f>AG9+'TAR_Tab 14_Overige tarieven'!$AA$14+'TAR_Tab 14_Overige tarieven'!$AA$15</f>
        <v>1.665</v>
      </c>
      <c r="AI9" s="1315"/>
      <c r="AJ9" s="22"/>
    </row>
    <row r="10" spans="1:36">
      <c r="A10" s="644">
        <v>300136</v>
      </c>
      <c r="B10" s="1286" t="s">
        <v>656</v>
      </c>
      <c r="C10" s="1022"/>
      <c r="D10" s="1392"/>
      <c r="E10" s="740"/>
      <c r="F10" s="1017">
        <v>1.1460920403137282</v>
      </c>
      <c r="G10" s="739">
        <f t="shared" si="4"/>
        <v>1.0906211855625438</v>
      </c>
      <c r="H10" s="739">
        <f>G10*$H$5</f>
        <v>1.1161100993089283</v>
      </c>
      <c r="I10" s="740"/>
      <c r="J10" s="741">
        <f t="shared" si="1"/>
        <v>1.0603045943434819</v>
      </c>
      <c r="K10" s="741">
        <f t="shared" si="2"/>
        <v>1.1719156042743748</v>
      </c>
      <c r="L10" s="1314">
        <v>1.0603045943434819</v>
      </c>
      <c r="M10" s="66" t="b">
        <f t="shared" si="5"/>
        <v>1</v>
      </c>
      <c r="N10" s="734">
        <f t="shared" si="11"/>
        <v>1.0603045943434819</v>
      </c>
      <c r="P10" s="1134">
        <f t="shared" si="3"/>
        <v>-4.9174656826163926E-2</v>
      </c>
      <c r="Q10" s="1134">
        <f t="shared" si="3"/>
        <v>5.0882666522242888E-2</v>
      </c>
      <c r="R10" s="1134">
        <f t="shared" si="3"/>
        <v>0</v>
      </c>
      <c r="S10" s="1134">
        <f t="shared" si="3"/>
        <v>1.9168773566614348E-3</v>
      </c>
      <c r="T10" s="1134">
        <f t="shared" si="3"/>
        <v>4.4394515710906912E-2</v>
      </c>
      <c r="U10" s="1134">
        <f t="shared" si="3"/>
        <v>-5.8099367033503544E-3</v>
      </c>
      <c r="V10" s="1134">
        <f t="shared" si="3"/>
        <v>-2.185763786078672E-4</v>
      </c>
      <c r="W10" s="1134">
        <f t="shared" si="3"/>
        <v>-1.8072434486159954E-2</v>
      </c>
      <c r="X10" s="1134">
        <f t="shared" si="3"/>
        <v>1.4259771660446289E-3</v>
      </c>
      <c r="Z10" s="735">
        <f t="shared" si="6"/>
        <v>1.0856490267050556</v>
      </c>
      <c r="AA10" s="1012"/>
      <c r="AB10" s="463">
        <f>IF('TAR_Tab 2_Volumina'!R13="storage",1,0)</f>
        <v>0</v>
      </c>
      <c r="AC10" s="736">
        <f t="shared" si="7"/>
        <v>1.0856490267050556</v>
      </c>
      <c r="AD10" s="736">
        <f t="shared" si="8"/>
        <v>1.1587035731963831</v>
      </c>
      <c r="AE10" s="1020"/>
      <c r="AF10" s="1019">
        <f t="shared" si="9"/>
        <v>1.1587035731963831</v>
      </c>
      <c r="AG10" s="737">
        <f t="shared" si="10"/>
        <v>1.159</v>
      </c>
      <c r="AH10" s="738">
        <f>AG10+'TAR_Tab 14_Overige tarieven'!$AA$14+'TAR_Tab 14_Overige tarieven'!$AA$15</f>
        <v>1.339</v>
      </c>
      <c r="AI10" s="1315"/>
      <c r="AJ10" s="22"/>
    </row>
    <row r="11" spans="1:36">
      <c r="A11" s="644">
        <v>300138</v>
      </c>
      <c r="B11" s="1286" t="s">
        <v>751</v>
      </c>
      <c r="C11" s="1022"/>
      <c r="D11" s="1392"/>
      <c r="E11" s="740"/>
      <c r="F11" s="1017">
        <v>1.196329077862516</v>
      </c>
      <c r="G11" s="739">
        <f t="shared" si="4"/>
        <v>1.1384267504939702</v>
      </c>
      <c r="H11" s="739">
        <f t="shared" si="0"/>
        <v>1.1650329283621825</v>
      </c>
      <c r="I11" s="740"/>
      <c r="J11" s="741">
        <f t="shared" si="1"/>
        <v>1.1067812819440734</v>
      </c>
      <c r="K11" s="741">
        <f t="shared" si="2"/>
        <v>1.2232845747802916</v>
      </c>
      <c r="L11" s="1314">
        <v>1.1740401696806571</v>
      </c>
      <c r="M11" s="66" t="b">
        <f t="shared" si="5"/>
        <v>1</v>
      </c>
      <c r="N11" s="734">
        <f t="shared" si="11"/>
        <v>1.1740401696806571</v>
      </c>
      <c r="P11" s="1134">
        <f t="shared" si="3"/>
        <v>-5.4449469286629505E-2</v>
      </c>
      <c r="Q11" s="1134">
        <f t="shared" si="3"/>
        <v>5.6340691869365155E-2</v>
      </c>
      <c r="R11" s="1134">
        <f t="shared" si="3"/>
        <v>0</v>
      </c>
      <c r="S11" s="1134">
        <f t="shared" si="3"/>
        <v>2.1224948275030877E-3</v>
      </c>
      <c r="T11" s="1134">
        <f t="shared" si="3"/>
        <v>4.9156577304464037E-2</v>
      </c>
      <c r="U11" s="1134">
        <f t="shared" si="3"/>
        <v>-6.4331505394059022E-3</v>
      </c>
      <c r="V11" s="1134">
        <f t="shared" si="3"/>
        <v>-2.4202238677260097E-4</v>
      </c>
      <c r="W11" s="1134">
        <f t="shared" si="3"/>
        <v>-2.0011008312013755E-2</v>
      </c>
      <c r="X11" s="1134">
        <f t="shared" si="3"/>
        <v>1.5789373005785942E-3</v>
      </c>
      <c r="Z11" s="735">
        <f t="shared" si="6"/>
        <v>1.2021032204577462</v>
      </c>
      <c r="AA11" s="1012"/>
      <c r="AB11" s="463">
        <f>IF('TAR_Tab 2_Volumina'!R14="storage",1,0)</f>
        <v>0</v>
      </c>
      <c r="AC11" s="736">
        <f t="shared" si="7"/>
        <v>1.2021032204577462</v>
      </c>
      <c r="AD11" s="736">
        <f t="shared" si="8"/>
        <v>1.2829941008860517</v>
      </c>
      <c r="AE11" s="1020"/>
      <c r="AF11" s="1019">
        <f t="shared" si="9"/>
        <v>1.2829941008860517</v>
      </c>
      <c r="AG11" s="737">
        <f t="shared" si="10"/>
        <v>1.2829999999999999</v>
      </c>
      <c r="AH11" s="738">
        <f>AG11+'TAR_Tab 14_Overige tarieven'!$AA$14+'TAR_Tab 14_Overige tarieven'!$AA$15</f>
        <v>1.4629999999999999</v>
      </c>
      <c r="AI11" s="1315"/>
      <c r="AJ11" s="22"/>
    </row>
    <row r="12" spans="1:36">
      <c r="A12" s="644">
        <v>300139</v>
      </c>
      <c r="B12" s="1286" t="s">
        <v>752</v>
      </c>
      <c r="C12" s="1022"/>
      <c r="D12" s="1392"/>
      <c r="E12" s="740"/>
      <c r="F12" s="1017">
        <v>0.99863408226450245</v>
      </c>
      <c r="G12" s="739">
        <f t="shared" si="4"/>
        <v>0.95030019268290056</v>
      </c>
      <c r="H12" s="739">
        <f t="shared" si="0"/>
        <v>0.97250966373033243</v>
      </c>
      <c r="I12" s="740"/>
      <c r="J12" s="741">
        <f t="shared" si="1"/>
        <v>0.92388418054381571</v>
      </c>
      <c r="K12" s="741">
        <f t="shared" si="2"/>
        <v>1.021135146916849</v>
      </c>
      <c r="L12" s="1314">
        <v>0.98002844625786323</v>
      </c>
      <c r="M12" s="66" t="b">
        <f t="shared" si="5"/>
        <v>1</v>
      </c>
      <c r="N12" s="734">
        <f t="shared" si="11"/>
        <v>0.98002844625786323</v>
      </c>
      <c r="P12" s="1134">
        <f t="shared" si="3"/>
        <v>-4.5451620960341943E-2</v>
      </c>
      <c r="Q12" s="1134">
        <f t="shared" si="3"/>
        <v>4.7030316457439235E-2</v>
      </c>
      <c r="R12" s="1134">
        <f t="shared" si="3"/>
        <v>0</v>
      </c>
      <c r="S12" s="1134">
        <f t="shared" si="3"/>
        <v>1.7717496911149116E-3</v>
      </c>
      <c r="T12" s="1134">
        <f t="shared" si="3"/>
        <v>4.1033386525566796E-2</v>
      </c>
      <c r="U12" s="1134">
        <f t="shared" si="3"/>
        <v>-5.3700637256660416E-3</v>
      </c>
      <c r="V12" s="1134">
        <f t="shared" si="3"/>
        <v>-2.0202786053980412E-4</v>
      </c>
      <c r="W12" s="1134">
        <f t="shared" si="3"/>
        <v>-1.6704162166282933E-2</v>
      </c>
      <c r="X12" s="1134">
        <f t="shared" si="3"/>
        <v>1.3180157795158946E-3</v>
      </c>
      <c r="Z12" s="735">
        <f t="shared" si="6"/>
        <v>1.0034540399986693</v>
      </c>
      <c r="AA12" s="1012"/>
      <c r="AB12" s="463">
        <f>IF('TAR_Tab 2_Volumina'!R15="storage",1,0)</f>
        <v>0</v>
      </c>
      <c r="AC12" s="736">
        <f t="shared" si="7"/>
        <v>1.0034540399986693</v>
      </c>
      <c r="AD12" s="736">
        <f t="shared" si="8"/>
        <v>1.0709775932039622</v>
      </c>
      <c r="AE12" s="1020"/>
      <c r="AF12" s="1019">
        <f t="shared" si="9"/>
        <v>1.0709775932039622</v>
      </c>
      <c r="AG12" s="737">
        <f t="shared" si="10"/>
        <v>1.071</v>
      </c>
      <c r="AH12" s="738">
        <f>AG12+'TAR_Tab 14_Overige tarieven'!$AA$14+'TAR_Tab 14_Overige tarieven'!$AA$15</f>
        <v>1.2509999999999999</v>
      </c>
      <c r="AI12" s="1315"/>
      <c r="AJ12" s="22"/>
    </row>
    <row r="13" spans="1:36">
      <c r="A13" s="644">
        <v>300142</v>
      </c>
      <c r="B13" s="1286" t="s">
        <v>34</v>
      </c>
      <c r="C13" s="1022"/>
      <c r="D13" s="1392"/>
      <c r="E13" s="740"/>
      <c r="F13" s="1017">
        <v>1.7888657734237592</v>
      </c>
      <c r="G13" s="739">
        <f t="shared" si="4"/>
        <v>1.7022846699900493</v>
      </c>
      <c r="H13" s="739">
        <f t="shared" si="0"/>
        <v>1.7420687744064594</v>
      </c>
      <c r="I13" s="740"/>
      <c r="J13" s="741">
        <f t="shared" si="1"/>
        <v>1.6549653356861362</v>
      </c>
      <c r="K13" s="741">
        <f t="shared" si="2"/>
        <v>1.8291722131267825</v>
      </c>
      <c r="L13" s="1314">
        <v>1.7555372639765499</v>
      </c>
      <c r="M13" s="66" t="b">
        <f t="shared" si="5"/>
        <v>1</v>
      </c>
      <c r="N13" s="734">
        <f t="shared" si="11"/>
        <v>1.7555372639765499</v>
      </c>
      <c r="P13" s="1134">
        <f t="shared" si="3"/>
        <v>-8.1418059453983616E-2</v>
      </c>
      <c r="Q13" s="1134">
        <f t="shared" si="3"/>
        <v>8.4245996524799069E-2</v>
      </c>
      <c r="R13" s="1134">
        <f t="shared" si="3"/>
        <v>0</v>
      </c>
      <c r="S13" s="1134">
        <f t="shared" si="3"/>
        <v>3.1737574731302994E-3</v>
      </c>
      <c r="T13" s="1134">
        <f t="shared" si="3"/>
        <v>7.3503620622285368E-2</v>
      </c>
      <c r="U13" s="1134">
        <f t="shared" si="3"/>
        <v>-9.6194625945122559E-3</v>
      </c>
      <c r="V13" s="1134">
        <f t="shared" si="3"/>
        <v>-3.6189504385647627E-4</v>
      </c>
      <c r="W13" s="1134">
        <f t="shared" si="3"/>
        <v>-2.9922375476334959E-2</v>
      </c>
      <c r="X13" s="1134">
        <f t="shared" si="3"/>
        <v>2.3609782188306438E-3</v>
      </c>
      <c r="Z13" s="735">
        <f t="shared" si="6"/>
        <v>1.797499824246908</v>
      </c>
      <c r="AA13" s="1012"/>
      <c r="AB13" s="463">
        <f>IF('TAR_Tab 2_Volumina'!R16="storage",1,0)</f>
        <v>0</v>
      </c>
      <c r="AC13" s="736">
        <f t="shared" si="7"/>
        <v>1.797499824246908</v>
      </c>
      <c r="AD13" s="736">
        <f t="shared" si="8"/>
        <v>1.9184556131330652</v>
      </c>
      <c r="AE13" s="1020"/>
      <c r="AF13" s="1019">
        <f t="shared" si="9"/>
        <v>1.9184556131330652</v>
      </c>
      <c r="AG13" s="737">
        <f t="shared" si="10"/>
        <v>1.9179999999999999</v>
      </c>
      <c r="AH13" s="738">
        <f>AG13+'TAR_Tab 14_Overige tarieven'!$AA$14+'TAR_Tab 14_Overige tarieven'!$AA$15</f>
        <v>2.0979999999999999</v>
      </c>
      <c r="AI13" s="1315"/>
      <c r="AJ13" s="22"/>
    </row>
    <row r="14" spans="1:36">
      <c r="A14" s="644">
        <v>300143</v>
      </c>
      <c r="B14" s="1286" t="s">
        <v>35</v>
      </c>
      <c r="C14" s="1022"/>
      <c r="D14" s="1392"/>
      <c r="E14" s="740"/>
      <c r="F14" s="1017">
        <v>0.99863408226450245</v>
      </c>
      <c r="G14" s="739">
        <f t="shared" si="4"/>
        <v>0.95030019268290056</v>
      </c>
      <c r="H14" s="739">
        <f t="shared" si="0"/>
        <v>0.97250966373033243</v>
      </c>
      <c r="I14" s="740"/>
      <c r="J14" s="741">
        <f t="shared" si="1"/>
        <v>0.92388418054381571</v>
      </c>
      <c r="K14" s="741">
        <f t="shared" si="2"/>
        <v>1.021135146916849</v>
      </c>
      <c r="L14" s="1314">
        <v>0.98002844625786323</v>
      </c>
      <c r="M14" s="66" t="b">
        <f t="shared" si="5"/>
        <v>1</v>
      </c>
      <c r="N14" s="734">
        <f t="shared" si="11"/>
        <v>0.98002844625786323</v>
      </c>
      <c r="P14" s="1134">
        <f t="shared" si="3"/>
        <v>-4.5451620960341943E-2</v>
      </c>
      <c r="Q14" s="1134">
        <f t="shared" si="3"/>
        <v>4.7030316457439235E-2</v>
      </c>
      <c r="R14" s="1134">
        <f t="shared" si="3"/>
        <v>0</v>
      </c>
      <c r="S14" s="1134">
        <f t="shared" si="3"/>
        <v>1.7717496911149116E-3</v>
      </c>
      <c r="T14" s="1134">
        <f t="shared" si="3"/>
        <v>4.1033386525566796E-2</v>
      </c>
      <c r="U14" s="1134">
        <f t="shared" si="3"/>
        <v>-5.3700637256660416E-3</v>
      </c>
      <c r="V14" s="1134">
        <f t="shared" si="3"/>
        <v>-2.0202786053980412E-4</v>
      </c>
      <c r="W14" s="1134">
        <f t="shared" si="3"/>
        <v>-1.6704162166282933E-2</v>
      </c>
      <c r="X14" s="1134">
        <f t="shared" si="3"/>
        <v>1.3180157795158946E-3</v>
      </c>
      <c r="Z14" s="735">
        <f t="shared" si="6"/>
        <v>1.0034540399986693</v>
      </c>
      <c r="AA14" s="1012"/>
      <c r="AB14" s="463">
        <f>IF('TAR_Tab 2_Volumina'!R17="storage",1,0)</f>
        <v>0</v>
      </c>
      <c r="AC14" s="736">
        <f t="shared" si="7"/>
        <v>1.0034540399986693</v>
      </c>
      <c r="AD14" s="736">
        <f t="shared" si="8"/>
        <v>1.0709775932039622</v>
      </c>
      <c r="AE14" s="1020"/>
      <c r="AF14" s="1019">
        <f t="shared" si="9"/>
        <v>1.0709775932039622</v>
      </c>
      <c r="AG14" s="737">
        <f t="shared" si="10"/>
        <v>1.071</v>
      </c>
      <c r="AH14" s="738">
        <f>AG14+'TAR_Tab 14_Overige tarieven'!$AA$14+'TAR_Tab 14_Overige tarieven'!$AA$15</f>
        <v>1.2509999999999999</v>
      </c>
      <c r="AI14" s="1315"/>
      <c r="AJ14" s="22"/>
    </row>
    <row r="15" spans="1:36">
      <c r="A15" s="644">
        <v>300144</v>
      </c>
      <c r="B15" s="1286" t="s">
        <v>263</v>
      </c>
      <c r="C15" s="1022"/>
      <c r="D15" s="1392"/>
      <c r="E15" s="740"/>
      <c r="F15" s="1017">
        <v>1.0674728811363714</v>
      </c>
      <c r="G15" s="739">
        <f t="shared" si="4"/>
        <v>1.0158071936893711</v>
      </c>
      <c r="H15" s="739">
        <f t="shared" si="0"/>
        <v>1.0395476292188262</v>
      </c>
      <c r="I15" s="740"/>
      <c r="J15" s="741">
        <f t="shared" si="1"/>
        <v>0.98757024775788482</v>
      </c>
      <c r="K15" s="741">
        <f t="shared" si="2"/>
        <v>1.0915250106797676</v>
      </c>
      <c r="L15" s="1314">
        <v>1.0603045943434819</v>
      </c>
      <c r="M15" s="66" t="b">
        <f t="shared" si="5"/>
        <v>1</v>
      </c>
      <c r="N15" s="734">
        <f t="shared" si="11"/>
        <v>1.0603045943434819</v>
      </c>
      <c r="P15" s="1134">
        <f t="shared" si="3"/>
        <v>-4.9174656826163926E-2</v>
      </c>
      <c r="Q15" s="1134">
        <f t="shared" si="3"/>
        <v>5.0882666522242888E-2</v>
      </c>
      <c r="R15" s="1134">
        <f t="shared" si="3"/>
        <v>0</v>
      </c>
      <c r="S15" s="1134">
        <f t="shared" si="3"/>
        <v>1.9168773566614348E-3</v>
      </c>
      <c r="T15" s="1134">
        <f t="shared" si="3"/>
        <v>4.4394515710906912E-2</v>
      </c>
      <c r="U15" s="1134">
        <f t="shared" si="3"/>
        <v>-5.8099367033503544E-3</v>
      </c>
      <c r="V15" s="1134">
        <f t="shared" si="3"/>
        <v>-2.185763786078672E-4</v>
      </c>
      <c r="W15" s="1134">
        <f t="shared" si="3"/>
        <v>-1.8072434486159954E-2</v>
      </c>
      <c r="X15" s="1134">
        <f t="shared" si="3"/>
        <v>1.4259771660446289E-3</v>
      </c>
      <c r="Z15" s="735">
        <f t="shared" si="6"/>
        <v>1.0856490267050556</v>
      </c>
      <c r="AA15" s="1012"/>
      <c r="AB15" s="463">
        <f>IF('TAR_Tab 2_Volumina'!R18="storage",1,0)</f>
        <v>0</v>
      </c>
      <c r="AC15" s="736">
        <f t="shared" si="7"/>
        <v>1.0856490267050556</v>
      </c>
      <c r="AD15" s="736">
        <f t="shared" si="8"/>
        <v>1.1587035731963831</v>
      </c>
      <c r="AE15" s="1020"/>
      <c r="AF15" s="1019">
        <f t="shared" si="9"/>
        <v>1.1587035731963831</v>
      </c>
      <c r="AG15" s="737">
        <f t="shared" si="10"/>
        <v>1.159</v>
      </c>
      <c r="AH15" s="738">
        <f>AG15+'TAR_Tab 14_Overige tarieven'!$AA$14+'TAR_Tab 14_Overige tarieven'!$AA$15</f>
        <v>1.339</v>
      </c>
      <c r="AI15" s="1315"/>
      <c r="AJ15" s="22"/>
    </row>
    <row r="16" spans="1:36">
      <c r="A16" s="644">
        <v>300145</v>
      </c>
      <c r="B16" s="1286" t="s">
        <v>754</v>
      </c>
      <c r="C16" s="1022"/>
      <c r="D16" s="1392"/>
      <c r="E16" s="740"/>
      <c r="F16" s="1017">
        <v>0.86331627658134513</v>
      </c>
      <c r="G16" s="739">
        <f t="shared" si="4"/>
        <v>0.82153176879480805</v>
      </c>
      <c r="H16" s="739">
        <f t="shared" si="0"/>
        <v>0.84073179229694162</v>
      </c>
      <c r="I16" s="740"/>
      <c r="J16" s="741">
        <f t="shared" si="1"/>
        <v>0.79869520268209448</v>
      </c>
      <c r="K16" s="741">
        <f t="shared" si="2"/>
        <v>0.88276838191178875</v>
      </c>
      <c r="L16" s="1314">
        <v>0.79869520268209448</v>
      </c>
      <c r="M16" s="66" t="b">
        <f t="shared" si="5"/>
        <v>1</v>
      </c>
      <c r="N16" s="734">
        <f t="shared" si="11"/>
        <v>0.79869520268209448</v>
      </c>
      <c r="P16" s="1134">
        <f t="shared" si="3"/>
        <v>-3.7041773382972119E-2</v>
      </c>
      <c r="Q16" s="1134">
        <f t="shared" si="3"/>
        <v>3.8328365139407392E-2</v>
      </c>
      <c r="R16" s="1134">
        <f t="shared" si="3"/>
        <v>0</v>
      </c>
      <c r="S16" s="1134">
        <f t="shared" si="3"/>
        <v>1.4439254126248366E-3</v>
      </c>
      <c r="T16" s="1134">
        <f t="shared" si="3"/>
        <v>3.3441038464660122E-2</v>
      </c>
      <c r="U16" s="1134">
        <f t="shared" si="3"/>
        <v>-4.3764486144906014E-3</v>
      </c>
      <c r="V16" s="1134">
        <f t="shared" si="3"/>
        <v>-1.6464693819592702E-4</v>
      </c>
      <c r="W16" s="1134">
        <f t="shared" si="3"/>
        <v>-1.36134152411363E-2</v>
      </c>
      <c r="X16" s="1134">
        <f t="shared" si="3"/>
        <v>1.0741452293331329E-3</v>
      </c>
      <c r="Z16" s="735">
        <f t="shared" si="6"/>
        <v>0.81778639275132503</v>
      </c>
      <c r="AA16" s="1012"/>
      <c r="AB16" s="463">
        <f>IF('TAR_Tab 2_Volumina'!R19="storage",1,0)</f>
        <v>0</v>
      </c>
      <c r="AC16" s="736">
        <f t="shared" si="7"/>
        <v>0.81778639275132503</v>
      </c>
      <c r="AD16" s="736">
        <f t="shared" si="8"/>
        <v>0.87281616073310708</v>
      </c>
      <c r="AE16" s="1020"/>
      <c r="AF16" s="1019">
        <f t="shared" si="9"/>
        <v>0.87281616073310708</v>
      </c>
      <c r="AG16" s="737">
        <f t="shared" si="10"/>
        <v>0.873</v>
      </c>
      <c r="AH16" s="738">
        <f>AG16+'TAR_Tab 14_Overige tarieven'!$AA$14+'TAR_Tab 14_Overige tarieven'!$AA$15</f>
        <v>1.0529999999999999</v>
      </c>
      <c r="AI16" s="1315"/>
      <c r="AJ16" s="22"/>
    </row>
    <row r="17" spans="1:36">
      <c r="A17" s="644">
        <v>300146</v>
      </c>
      <c r="B17" s="1286" t="s">
        <v>264</v>
      </c>
      <c r="C17" s="1022"/>
      <c r="D17" s="1392"/>
      <c r="E17" s="740"/>
      <c r="F17" s="1017">
        <v>0.86331627658134513</v>
      </c>
      <c r="G17" s="739">
        <f t="shared" si="4"/>
        <v>0.82153176879480805</v>
      </c>
      <c r="H17" s="739">
        <f t="shared" si="0"/>
        <v>0.84073179229694162</v>
      </c>
      <c r="I17" s="740"/>
      <c r="J17" s="741">
        <f t="shared" si="1"/>
        <v>0.79869520268209448</v>
      </c>
      <c r="K17" s="741">
        <f t="shared" si="2"/>
        <v>0.88276838191178875</v>
      </c>
      <c r="L17" s="1314">
        <v>0.79869520268209448</v>
      </c>
      <c r="M17" s="66" t="b">
        <f t="shared" si="5"/>
        <v>1</v>
      </c>
      <c r="N17" s="734">
        <f t="shared" si="11"/>
        <v>0.79869520268209448</v>
      </c>
      <c r="P17" s="1134">
        <f t="shared" ref="P17:X26" si="12">$N17*P$5</f>
        <v>-3.7041773382972119E-2</v>
      </c>
      <c r="Q17" s="1134">
        <f t="shared" si="12"/>
        <v>3.8328365139407392E-2</v>
      </c>
      <c r="R17" s="1134">
        <f t="shared" si="12"/>
        <v>0</v>
      </c>
      <c r="S17" s="1134">
        <f t="shared" si="12"/>
        <v>1.4439254126248366E-3</v>
      </c>
      <c r="T17" s="1134">
        <f t="shared" si="12"/>
        <v>3.3441038464660122E-2</v>
      </c>
      <c r="U17" s="1134">
        <f t="shared" si="12"/>
        <v>-4.3764486144906014E-3</v>
      </c>
      <c r="V17" s="1134">
        <f t="shared" si="12"/>
        <v>-1.6464693819592702E-4</v>
      </c>
      <c r="W17" s="1134">
        <f t="shared" si="12"/>
        <v>-1.36134152411363E-2</v>
      </c>
      <c r="X17" s="1134">
        <f t="shared" si="12"/>
        <v>1.0741452293331329E-3</v>
      </c>
      <c r="Z17" s="735">
        <f t="shared" si="6"/>
        <v>0.81778639275132503</v>
      </c>
      <c r="AA17" s="1012"/>
      <c r="AB17" s="463">
        <f>IF('TAR_Tab 2_Volumina'!R20="storage",1,0)</f>
        <v>0</v>
      </c>
      <c r="AC17" s="736">
        <f t="shared" si="7"/>
        <v>0.81778639275132503</v>
      </c>
      <c r="AD17" s="736">
        <f t="shared" si="8"/>
        <v>0.87281616073310708</v>
      </c>
      <c r="AE17" s="1020"/>
      <c r="AF17" s="1019">
        <f t="shared" si="9"/>
        <v>0.87281616073310708</v>
      </c>
      <c r="AG17" s="737">
        <f t="shared" si="10"/>
        <v>0.873</v>
      </c>
      <c r="AH17" s="738">
        <f>AG17+'TAR_Tab 14_Overige tarieven'!$AA$14+'TAR_Tab 14_Overige tarieven'!$AA$15</f>
        <v>1.0529999999999999</v>
      </c>
      <c r="AI17" s="1315"/>
      <c r="AJ17" s="22"/>
    </row>
    <row r="18" spans="1:36">
      <c r="A18" s="644">
        <v>300147</v>
      </c>
      <c r="B18" s="1286" t="s">
        <v>755</v>
      </c>
      <c r="C18" s="1022"/>
      <c r="D18" s="1392"/>
      <c r="E18" s="740"/>
      <c r="F18" s="1017">
        <v>0.86331627658134513</v>
      </c>
      <c r="G18" s="739">
        <f t="shared" si="4"/>
        <v>0.82153176879480805</v>
      </c>
      <c r="H18" s="739">
        <f t="shared" si="0"/>
        <v>0.84073179229694162</v>
      </c>
      <c r="I18" s="740"/>
      <c r="J18" s="741">
        <f t="shared" si="1"/>
        <v>0.79869520268209448</v>
      </c>
      <c r="K18" s="741">
        <f t="shared" si="2"/>
        <v>0.88276838191178875</v>
      </c>
      <c r="L18" s="1314">
        <v>0.79869520268209448</v>
      </c>
      <c r="M18" s="66" t="b">
        <f t="shared" si="5"/>
        <v>1</v>
      </c>
      <c r="N18" s="734">
        <f t="shared" si="11"/>
        <v>0.79869520268209448</v>
      </c>
      <c r="P18" s="1134">
        <f t="shared" si="12"/>
        <v>-3.7041773382972119E-2</v>
      </c>
      <c r="Q18" s="1134">
        <f t="shared" si="12"/>
        <v>3.8328365139407392E-2</v>
      </c>
      <c r="R18" s="1134">
        <f t="shared" si="12"/>
        <v>0</v>
      </c>
      <c r="S18" s="1134">
        <f t="shared" si="12"/>
        <v>1.4439254126248366E-3</v>
      </c>
      <c r="T18" s="1134">
        <f t="shared" si="12"/>
        <v>3.3441038464660122E-2</v>
      </c>
      <c r="U18" s="1134">
        <f t="shared" si="12"/>
        <v>-4.3764486144906014E-3</v>
      </c>
      <c r="V18" s="1134">
        <f t="shared" si="12"/>
        <v>-1.6464693819592702E-4</v>
      </c>
      <c r="W18" s="1134">
        <f t="shared" si="12"/>
        <v>-1.36134152411363E-2</v>
      </c>
      <c r="X18" s="1134">
        <f t="shared" si="12"/>
        <v>1.0741452293331329E-3</v>
      </c>
      <c r="Z18" s="735">
        <f t="shared" si="6"/>
        <v>0.81778639275132503</v>
      </c>
      <c r="AA18" s="1012"/>
      <c r="AB18" s="463">
        <f>IF('TAR_Tab 2_Volumina'!R21="storage",1,0)</f>
        <v>0</v>
      </c>
      <c r="AC18" s="736">
        <f t="shared" si="7"/>
        <v>0.81778639275132503</v>
      </c>
      <c r="AD18" s="736">
        <f t="shared" si="8"/>
        <v>0.87281616073310708</v>
      </c>
      <c r="AE18" s="1020"/>
      <c r="AF18" s="1019">
        <f t="shared" si="9"/>
        <v>0.87281616073310708</v>
      </c>
      <c r="AG18" s="737">
        <f t="shared" si="10"/>
        <v>0.873</v>
      </c>
      <c r="AH18" s="738">
        <f>AG18+'TAR_Tab 14_Overige tarieven'!$AA$14+'TAR_Tab 14_Overige tarieven'!$AA$15</f>
        <v>1.0529999999999999</v>
      </c>
      <c r="AI18" s="1315"/>
      <c r="AJ18" s="22"/>
    </row>
    <row r="19" spans="1:36">
      <c r="A19" s="644">
        <v>301068</v>
      </c>
      <c r="B19" s="1286" t="s">
        <v>844</v>
      </c>
      <c r="C19" s="1022"/>
      <c r="D19" s="1392"/>
      <c r="E19" s="740"/>
      <c r="F19" s="1017">
        <v>1.5897872084631401</v>
      </c>
      <c r="G19" s="739">
        <f t="shared" si="4"/>
        <v>1.5128415075735242</v>
      </c>
      <c r="H19" s="739">
        <f t="shared" si="0"/>
        <v>1.5481981347956539</v>
      </c>
      <c r="I19" s="740"/>
      <c r="J19" s="741">
        <f t="shared" si="1"/>
        <v>1.4707882280558711</v>
      </c>
      <c r="K19" s="741">
        <f t="shared" si="2"/>
        <v>1.6256080415354368</v>
      </c>
      <c r="L19" s="1314">
        <v>1.4707882280558711</v>
      </c>
      <c r="M19" s="66" t="b">
        <f t="shared" si="5"/>
        <v>1</v>
      </c>
      <c r="N19" s="734">
        <f t="shared" si="11"/>
        <v>1.4707882280558711</v>
      </c>
      <c r="P19" s="1134">
        <f t="shared" si="12"/>
        <v>-6.8212008855239953E-2</v>
      </c>
      <c r="Q19" s="1134">
        <f t="shared" si="12"/>
        <v>7.0581253096753088E-2</v>
      </c>
      <c r="R19" s="1134">
        <f t="shared" si="12"/>
        <v>0</v>
      </c>
      <c r="S19" s="1134">
        <f t="shared" si="12"/>
        <v>2.6589723989172724E-3</v>
      </c>
      <c r="T19" s="1134">
        <f t="shared" si="12"/>
        <v>6.1581296022085563E-2</v>
      </c>
      <c r="U19" s="1134">
        <f t="shared" si="12"/>
        <v>-8.059180875593994E-3</v>
      </c>
      <c r="V19" s="1134">
        <f t="shared" si="12"/>
        <v>-3.0319548392279439E-4</v>
      </c>
      <c r="W19" s="1134">
        <f t="shared" si="12"/>
        <v>-2.5068950975368768E-2</v>
      </c>
      <c r="X19" s="1134">
        <f t="shared" si="12"/>
        <v>1.9780263525063027E-3</v>
      </c>
      <c r="Z19" s="735">
        <f t="shared" si="6"/>
        <v>1.5059444397360078</v>
      </c>
      <c r="AA19" s="1012"/>
      <c r="AB19" s="463">
        <f>IF('TAR_Tab 2_Volumina'!R22="storage",1,0)</f>
        <v>0</v>
      </c>
      <c r="AC19" s="736">
        <f t="shared" si="7"/>
        <v>1.5059444397360078</v>
      </c>
      <c r="AD19" s="736">
        <f t="shared" si="8"/>
        <v>1.6072811382268166</v>
      </c>
      <c r="AE19" s="1020"/>
      <c r="AF19" s="1019">
        <f t="shared" si="9"/>
        <v>1.6072811382268166</v>
      </c>
      <c r="AG19" s="737">
        <f t="shared" si="10"/>
        <v>1.607</v>
      </c>
      <c r="AH19" s="738">
        <f>AG19+'TAR_Tab 14_Overige tarieven'!$AA$14+'TAR_Tab 14_Overige tarieven'!$AA$15</f>
        <v>1.7869999999999999</v>
      </c>
      <c r="AI19" s="1315"/>
      <c r="AJ19" s="22"/>
    </row>
    <row r="20" spans="1:36">
      <c r="A20" s="644">
        <v>301069</v>
      </c>
      <c r="B20" s="1286" t="s">
        <v>103</v>
      </c>
      <c r="C20" s="1022"/>
      <c r="D20" s="1392"/>
      <c r="E20" s="740"/>
      <c r="F20" s="1017">
        <v>1.1061357681739954</v>
      </c>
      <c r="G20" s="739">
        <f t="shared" si="4"/>
        <v>1.052598796994374</v>
      </c>
      <c r="H20" s="739">
        <f t="shared" si="0"/>
        <v>1.077199089287705</v>
      </c>
      <c r="I20" s="740"/>
      <c r="J20" s="741">
        <f t="shared" si="1"/>
        <v>1.0233391348233196</v>
      </c>
      <c r="K20" s="741">
        <f t="shared" si="2"/>
        <v>1.1310590437520904</v>
      </c>
      <c r="L20" s="1314">
        <v>1.0855272591694742</v>
      </c>
      <c r="M20" s="66" t="b">
        <f t="shared" si="5"/>
        <v>1</v>
      </c>
      <c r="N20" s="734">
        <f t="shared" si="11"/>
        <v>1.0855272591694742</v>
      </c>
      <c r="P20" s="1134">
        <f t="shared" si="12"/>
        <v>-5.0344430015562873E-2</v>
      </c>
      <c r="Q20" s="1134">
        <f t="shared" si="12"/>
        <v>5.2093070070421348E-2</v>
      </c>
      <c r="R20" s="1134">
        <f t="shared" si="12"/>
        <v>0</v>
      </c>
      <c r="S20" s="1134">
        <f t="shared" si="12"/>
        <v>1.9624762867590092E-3</v>
      </c>
      <c r="T20" s="1134">
        <f t="shared" si="12"/>
        <v>4.5450578276194371E-2</v>
      </c>
      <c r="U20" s="1134">
        <f t="shared" si="12"/>
        <v>-5.9481442400436879E-3</v>
      </c>
      <c r="V20" s="1134">
        <f t="shared" si="12"/>
        <v>-2.2377590218431557E-4</v>
      </c>
      <c r="W20" s="1134">
        <f t="shared" si="12"/>
        <v>-1.8502343929225569E-2</v>
      </c>
      <c r="X20" s="1134">
        <f t="shared" si="12"/>
        <v>1.4598984979906932E-3</v>
      </c>
      <c r="Z20" s="735">
        <f t="shared" si="6"/>
        <v>1.1114745882138233</v>
      </c>
      <c r="AA20" s="1012"/>
      <c r="AB20" s="463">
        <f>IF('TAR_Tab 2_Volumina'!R23="storage",1,0)</f>
        <v>0</v>
      </c>
      <c r="AC20" s="736">
        <f t="shared" si="7"/>
        <v>1.1114745882138233</v>
      </c>
      <c r="AD20" s="736">
        <f t="shared" si="8"/>
        <v>1.1862669658434819</v>
      </c>
      <c r="AE20" s="1020"/>
      <c r="AF20" s="1019">
        <f t="shared" si="9"/>
        <v>1.1862669658434819</v>
      </c>
      <c r="AG20" s="737">
        <f t="shared" si="10"/>
        <v>1.1859999999999999</v>
      </c>
      <c r="AH20" s="738">
        <f>AG20+'TAR_Tab 14_Overige tarieven'!$AA$14+'TAR_Tab 14_Overige tarieven'!$AA$15</f>
        <v>1.3659999999999999</v>
      </c>
      <c r="AI20" s="1315"/>
      <c r="AJ20" s="22"/>
    </row>
    <row r="21" spans="1:36">
      <c r="A21" s="644">
        <v>301070</v>
      </c>
      <c r="B21" s="1286" t="s">
        <v>104</v>
      </c>
      <c r="C21" s="1022"/>
      <c r="D21" s="1392"/>
      <c r="E21" s="740"/>
      <c r="F21" s="1017">
        <v>0.9995770795093224</v>
      </c>
      <c r="G21" s="739">
        <f t="shared" si="4"/>
        <v>0.95119754886107122</v>
      </c>
      <c r="H21" s="739">
        <f t="shared" si="0"/>
        <v>0.9734279920246951</v>
      </c>
      <c r="I21" s="740"/>
      <c r="J21" s="741">
        <f t="shared" si="1"/>
        <v>0.92475659242346031</v>
      </c>
      <c r="K21" s="741">
        <f t="shared" si="2"/>
        <v>1.02209939162593</v>
      </c>
      <c r="L21" s="1314">
        <v>0.98095387444129811</v>
      </c>
      <c r="M21" s="66" t="b">
        <f t="shared" si="5"/>
        <v>1</v>
      </c>
      <c r="N21" s="734">
        <f t="shared" si="11"/>
        <v>0.98095387444129811</v>
      </c>
      <c r="P21" s="1134">
        <f t="shared" si="12"/>
        <v>-4.5494540338019307E-2</v>
      </c>
      <c r="Q21" s="1134">
        <f t="shared" si="12"/>
        <v>4.7074726576851349E-2</v>
      </c>
      <c r="R21" s="1134">
        <f t="shared" si="12"/>
        <v>0</v>
      </c>
      <c r="S21" s="1134">
        <f t="shared" si="12"/>
        <v>1.7734227314275786E-3</v>
      </c>
      <c r="T21" s="1134">
        <f t="shared" si="12"/>
        <v>4.1072133821624925E-2</v>
      </c>
      <c r="U21" s="1134">
        <f t="shared" si="12"/>
        <v>-5.3751346073711076E-3</v>
      </c>
      <c r="V21" s="1134">
        <f t="shared" si="12"/>
        <v>-2.0221863283493137E-4</v>
      </c>
      <c r="W21" s="1134">
        <f t="shared" si="12"/>
        <v>-1.6719935690519269E-2</v>
      </c>
      <c r="X21" s="1134">
        <f t="shared" si="12"/>
        <v>1.3192603647656732E-3</v>
      </c>
      <c r="Z21" s="735">
        <f t="shared" si="6"/>
        <v>1.0044015886672231</v>
      </c>
      <c r="AA21" s="1012"/>
      <c r="AB21" s="463">
        <f>IF('TAR_Tab 2_Volumina'!R24="storage",1,0)</f>
        <v>0</v>
      </c>
      <c r="AC21" s="736">
        <f t="shared" si="7"/>
        <v>1.0044015886672231</v>
      </c>
      <c r="AD21" s="736">
        <f t="shared" si="8"/>
        <v>1.0719889034902734</v>
      </c>
      <c r="AE21" s="1020"/>
      <c r="AF21" s="1019">
        <f t="shared" si="9"/>
        <v>1.0719889034902734</v>
      </c>
      <c r="AG21" s="737">
        <f t="shared" si="10"/>
        <v>1.0720000000000001</v>
      </c>
      <c r="AH21" s="738">
        <f>AG21+'TAR_Tab 14_Overige tarieven'!$AA$14+'TAR_Tab 14_Overige tarieven'!$AA$15</f>
        <v>1.252</v>
      </c>
      <c r="AI21" s="1315"/>
      <c r="AJ21" s="22"/>
    </row>
    <row r="22" spans="1:36">
      <c r="A22" s="644">
        <v>301071</v>
      </c>
      <c r="B22" s="1286" t="s">
        <v>36</v>
      </c>
      <c r="C22" s="1022"/>
      <c r="D22" s="1392"/>
      <c r="E22" s="740"/>
      <c r="F22" s="1017">
        <v>1.545824804671126</v>
      </c>
      <c r="G22" s="739">
        <f t="shared" si="4"/>
        <v>1.4710068841250434</v>
      </c>
      <c r="H22" s="739">
        <f t="shared" si="0"/>
        <v>1.5053857941316939</v>
      </c>
      <c r="I22" s="740"/>
      <c r="J22" s="741">
        <f t="shared" si="1"/>
        <v>1.4301165044251092</v>
      </c>
      <c r="K22" s="741">
        <f t="shared" si="2"/>
        <v>1.5806550838382787</v>
      </c>
      <c r="L22" s="1314">
        <v>1.4301165044251092</v>
      </c>
      <c r="M22" s="66" t="b">
        <f t="shared" si="5"/>
        <v>1</v>
      </c>
      <c r="N22" s="734">
        <f t="shared" si="11"/>
        <v>1.4301165044251092</v>
      </c>
      <c r="P22" s="1134">
        <f t="shared" si="12"/>
        <v>-6.6325741397057644E-2</v>
      </c>
      <c r="Q22" s="1134">
        <f t="shared" si="12"/>
        <v>6.8629468900561555E-2</v>
      </c>
      <c r="R22" s="1134">
        <f t="shared" si="12"/>
        <v>0</v>
      </c>
      <c r="S22" s="1134">
        <f t="shared" si="12"/>
        <v>2.5854438048697552E-3</v>
      </c>
      <c r="T22" s="1134">
        <f t="shared" si="12"/>
        <v>5.987838774143861E-2</v>
      </c>
      <c r="U22" s="1134">
        <f t="shared" si="12"/>
        <v>-7.8363202550029848E-3</v>
      </c>
      <c r="V22" s="1134">
        <f t="shared" si="12"/>
        <v>-2.9481121575082033E-4</v>
      </c>
      <c r="W22" s="1134">
        <f t="shared" si="12"/>
        <v>-2.4375718988374248E-2</v>
      </c>
      <c r="X22" s="1134">
        <f t="shared" si="12"/>
        <v>1.9233279672398931E-3</v>
      </c>
      <c r="Z22" s="735">
        <f t="shared" si="6"/>
        <v>1.4643005409830332</v>
      </c>
      <c r="AA22" s="1012"/>
      <c r="AB22" s="463">
        <f>IF('TAR_Tab 2_Volumina'!R25="storage",1,0)</f>
        <v>0</v>
      </c>
      <c r="AC22" s="736">
        <f t="shared" si="7"/>
        <v>1.4643005409830332</v>
      </c>
      <c r="AD22" s="736">
        <f t="shared" si="8"/>
        <v>1.5628349745956958</v>
      </c>
      <c r="AE22" s="1020"/>
      <c r="AF22" s="1019">
        <f t="shared" si="9"/>
        <v>1.5628349745956958</v>
      </c>
      <c r="AG22" s="737">
        <f t="shared" si="10"/>
        <v>1.5629999999999999</v>
      </c>
      <c r="AH22" s="738">
        <f>AG22+'TAR_Tab 14_Overige tarieven'!$AA$14+'TAR_Tab 14_Overige tarieven'!$AA$15</f>
        <v>1.7429999999999999</v>
      </c>
      <c r="AI22" s="1315"/>
      <c r="AJ22" s="22"/>
    </row>
    <row r="23" spans="1:36">
      <c r="A23" s="644">
        <v>301072</v>
      </c>
      <c r="B23" s="1286" t="s">
        <v>37</v>
      </c>
      <c r="C23" s="1022"/>
      <c r="D23" s="1392"/>
      <c r="E23" s="740"/>
      <c r="F23" s="1017">
        <v>1.3975219168234114</v>
      </c>
      <c r="G23" s="739">
        <f t="shared" si="4"/>
        <v>1.3298818560491583</v>
      </c>
      <c r="H23" s="739">
        <f t="shared" si="0"/>
        <v>1.3609625322458476</v>
      </c>
      <c r="I23" s="740"/>
      <c r="J23" s="741">
        <f t="shared" si="1"/>
        <v>1.2929144056335551</v>
      </c>
      <c r="K23" s="741">
        <f t="shared" si="2"/>
        <v>1.4290106588581402</v>
      </c>
      <c r="L23" s="1314">
        <v>1.3714845678509473</v>
      </c>
      <c r="M23" s="66" t="b">
        <f t="shared" si="5"/>
        <v>1</v>
      </c>
      <c r="N23" s="734">
        <f t="shared" si="11"/>
        <v>1.3714845678509473</v>
      </c>
      <c r="P23" s="1134">
        <f t="shared" si="12"/>
        <v>-6.3606517717872291E-2</v>
      </c>
      <c r="Q23" s="1134">
        <f t="shared" si="12"/>
        <v>6.5815796968767645E-2</v>
      </c>
      <c r="R23" s="1134">
        <f t="shared" si="12"/>
        <v>0</v>
      </c>
      <c r="S23" s="1134">
        <f t="shared" si="12"/>
        <v>2.4794457433732755E-3</v>
      </c>
      <c r="T23" s="1134">
        <f t="shared" si="12"/>
        <v>5.7423492758158633E-2</v>
      </c>
      <c r="U23" s="1134">
        <f t="shared" si="12"/>
        <v>-7.5150466869094174E-3</v>
      </c>
      <c r="V23" s="1134">
        <f t="shared" si="12"/>
        <v>-2.8272454137864936E-4</v>
      </c>
      <c r="W23" s="1134">
        <f t="shared" si="12"/>
        <v>-2.3376362918254304E-2</v>
      </c>
      <c r="X23" s="1134">
        <f t="shared" si="12"/>
        <v>1.844475340172385E-3</v>
      </c>
      <c r="Z23" s="735">
        <f t="shared" si="6"/>
        <v>1.4042671267970046</v>
      </c>
      <c r="AA23" s="1012"/>
      <c r="AB23" s="463">
        <f>IF('TAR_Tab 2_Volumina'!R26="storage",1,0)</f>
        <v>0</v>
      </c>
      <c r="AC23" s="736">
        <f t="shared" si="7"/>
        <v>1.4042671267970046</v>
      </c>
      <c r="AD23" s="736">
        <f t="shared" si="8"/>
        <v>1.49876184431376</v>
      </c>
      <c r="AE23" s="1020"/>
      <c r="AF23" s="1019">
        <f t="shared" si="9"/>
        <v>1.49876184431376</v>
      </c>
      <c r="AG23" s="737">
        <f t="shared" si="10"/>
        <v>1.4990000000000001</v>
      </c>
      <c r="AH23" s="738">
        <f>AG23+'TAR_Tab 14_Overige tarieven'!$AA$14+'TAR_Tab 14_Overige tarieven'!$AA$15</f>
        <v>1.679</v>
      </c>
      <c r="AI23" s="1315"/>
      <c r="AJ23" s="22"/>
    </row>
    <row r="24" spans="1:36">
      <c r="A24" s="644">
        <v>301073</v>
      </c>
      <c r="B24" s="1286" t="s">
        <v>38</v>
      </c>
      <c r="C24" s="1022"/>
      <c r="D24" s="1392"/>
      <c r="E24" s="740"/>
      <c r="F24" s="1017">
        <v>1.545824804671126</v>
      </c>
      <c r="G24" s="739">
        <f t="shared" si="4"/>
        <v>1.4710068841250434</v>
      </c>
      <c r="H24" s="739">
        <f t="shared" si="0"/>
        <v>1.5053857941316939</v>
      </c>
      <c r="I24" s="740"/>
      <c r="J24" s="741">
        <f t="shared" si="1"/>
        <v>1.4301165044251092</v>
      </c>
      <c r="K24" s="741">
        <f t="shared" si="2"/>
        <v>1.5806550838382787</v>
      </c>
      <c r="L24" s="1314">
        <v>1.4301165044251092</v>
      </c>
      <c r="M24" s="66" t="b">
        <f t="shared" si="5"/>
        <v>1</v>
      </c>
      <c r="N24" s="734">
        <f t="shared" si="11"/>
        <v>1.4301165044251092</v>
      </c>
      <c r="P24" s="1134">
        <f t="shared" si="12"/>
        <v>-6.6325741397057644E-2</v>
      </c>
      <c r="Q24" s="1134">
        <f t="shared" si="12"/>
        <v>6.8629468900561555E-2</v>
      </c>
      <c r="R24" s="1134">
        <f t="shared" si="12"/>
        <v>0</v>
      </c>
      <c r="S24" s="1134">
        <f t="shared" si="12"/>
        <v>2.5854438048697552E-3</v>
      </c>
      <c r="T24" s="1134">
        <f t="shared" si="12"/>
        <v>5.987838774143861E-2</v>
      </c>
      <c r="U24" s="1134">
        <f t="shared" si="12"/>
        <v>-7.8363202550029848E-3</v>
      </c>
      <c r="V24" s="1134">
        <f t="shared" si="12"/>
        <v>-2.9481121575082033E-4</v>
      </c>
      <c r="W24" s="1134">
        <f t="shared" si="12"/>
        <v>-2.4375718988374248E-2</v>
      </c>
      <c r="X24" s="1134">
        <f t="shared" si="12"/>
        <v>1.9233279672398931E-3</v>
      </c>
      <c r="Z24" s="735">
        <f t="shared" si="6"/>
        <v>1.4643005409830332</v>
      </c>
      <c r="AA24" s="1012"/>
      <c r="AB24" s="463">
        <f>IF('TAR_Tab 2_Volumina'!R27="storage",1,0)</f>
        <v>0</v>
      </c>
      <c r="AC24" s="736">
        <f t="shared" si="7"/>
        <v>1.4643005409830332</v>
      </c>
      <c r="AD24" s="736">
        <f t="shared" si="8"/>
        <v>1.5628349745956958</v>
      </c>
      <c r="AE24" s="1020"/>
      <c r="AF24" s="1019">
        <f t="shared" si="9"/>
        <v>1.5628349745956958</v>
      </c>
      <c r="AG24" s="737">
        <f t="shared" si="10"/>
        <v>1.5629999999999999</v>
      </c>
      <c r="AH24" s="738">
        <f>AG24+'TAR_Tab 14_Overige tarieven'!$AA$14+'TAR_Tab 14_Overige tarieven'!$AA$15</f>
        <v>1.7429999999999999</v>
      </c>
      <c r="AI24" s="1315"/>
      <c r="AJ24" s="22"/>
    </row>
    <row r="25" spans="1:36">
      <c r="A25" s="644">
        <v>301074</v>
      </c>
      <c r="B25" s="1286" t="s">
        <v>429</v>
      </c>
      <c r="C25" s="1022"/>
      <c r="D25" s="1392"/>
      <c r="E25" s="740"/>
      <c r="F25" s="1017">
        <v>1.1025567419625883</v>
      </c>
      <c r="G25" s="739">
        <f t="shared" si="4"/>
        <v>1.0491929956515991</v>
      </c>
      <c r="H25" s="739">
        <f t="shared" si="0"/>
        <v>1.0737136909429532</v>
      </c>
      <c r="I25" s="740"/>
      <c r="J25" s="741">
        <f t="shared" si="1"/>
        <v>1.0200280063958056</v>
      </c>
      <c r="K25" s="741">
        <f t="shared" si="2"/>
        <v>1.1273993754901008</v>
      </c>
      <c r="L25" s="1314">
        <v>1.0820149140979665</v>
      </c>
      <c r="M25" s="66" t="b">
        <f t="shared" si="5"/>
        <v>1</v>
      </c>
      <c r="N25" s="734">
        <f t="shared" si="11"/>
        <v>1.0820149140979665</v>
      </c>
      <c r="P25" s="1134">
        <f t="shared" si="12"/>
        <v>-5.0181534971565252E-2</v>
      </c>
      <c r="Q25" s="1134">
        <f t="shared" si="12"/>
        <v>5.1924517105605389E-2</v>
      </c>
      <c r="R25" s="1134">
        <f t="shared" si="12"/>
        <v>0</v>
      </c>
      <c r="S25" s="1134">
        <f t="shared" si="12"/>
        <v>1.9561264748537582E-3</v>
      </c>
      <c r="T25" s="1134">
        <f t="shared" si="12"/>
        <v>4.5303517837815603E-2</v>
      </c>
      <c r="U25" s="1134">
        <f t="shared" si="12"/>
        <v>-5.9288983529140367E-3</v>
      </c>
      <c r="V25" s="1134">
        <f t="shared" si="12"/>
        <v>-2.2305185018053572E-4</v>
      </c>
      <c r="W25" s="1134">
        <f t="shared" si="12"/>
        <v>-1.8442477522406013E-2</v>
      </c>
      <c r="X25" s="1134">
        <f t="shared" si="12"/>
        <v>1.4551748328307391E-3</v>
      </c>
      <c r="Z25" s="735">
        <f t="shared" si="6"/>
        <v>1.1078782876520061</v>
      </c>
      <c r="AA25" s="1012"/>
      <c r="AB25" s="463">
        <f>IF('TAR_Tab 2_Volumina'!R28="storage",1,0)</f>
        <v>0</v>
      </c>
      <c r="AC25" s="736">
        <f t="shared" si="7"/>
        <v>1.1078782876520061</v>
      </c>
      <c r="AD25" s="736">
        <f t="shared" si="8"/>
        <v>1.1824286661639689</v>
      </c>
      <c r="AE25" s="1020"/>
      <c r="AF25" s="1019">
        <f t="shared" si="9"/>
        <v>1.1824286661639689</v>
      </c>
      <c r="AG25" s="737">
        <f t="shared" si="10"/>
        <v>1.1819999999999999</v>
      </c>
      <c r="AH25" s="738">
        <f>AG25+'TAR_Tab 14_Overige tarieven'!$AA$14+'TAR_Tab 14_Overige tarieven'!$AA$15</f>
        <v>1.3619999999999999</v>
      </c>
      <c r="AI25" s="1315"/>
      <c r="AJ25" s="22"/>
    </row>
    <row r="26" spans="1:36">
      <c r="A26" s="644">
        <v>301075</v>
      </c>
      <c r="B26" s="1286" t="s">
        <v>430</v>
      </c>
      <c r="C26" s="1022"/>
      <c r="D26" s="1392"/>
      <c r="E26" s="740"/>
      <c r="F26" s="1017">
        <v>1.1061357681739954</v>
      </c>
      <c r="G26" s="739">
        <f t="shared" si="4"/>
        <v>1.052598796994374</v>
      </c>
      <c r="H26" s="739">
        <f t="shared" si="0"/>
        <v>1.077199089287705</v>
      </c>
      <c r="I26" s="740"/>
      <c r="J26" s="741">
        <f t="shared" si="1"/>
        <v>1.0233391348233196</v>
      </c>
      <c r="K26" s="741">
        <f t="shared" si="2"/>
        <v>1.1310590437520904</v>
      </c>
      <c r="L26" s="1314">
        <v>1.0855272591694742</v>
      </c>
      <c r="M26" s="66" t="b">
        <f t="shared" si="5"/>
        <v>1</v>
      </c>
      <c r="N26" s="734">
        <f t="shared" si="11"/>
        <v>1.0855272591694742</v>
      </c>
      <c r="P26" s="1134">
        <f t="shared" si="12"/>
        <v>-5.0344430015562873E-2</v>
      </c>
      <c r="Q26" s="1134">
        <f t="shared" si="12"/>
        <v>5.2093070070421348E-2</v>
      </c>
      <c r="R26" s="1134">
        <f t="shared" si="12"/>
        <v>0</v>
      </c>
      <c r="S26" s="1134">
        <f t="shared" si="12"/>
        <v>1.9624762867590092E-3</v>
      </c>
      <c r="T26" s="1134">
        <f t="shared" si="12"/>
        <v>4.5450578276194371E-2</v>
      </c>
      <c r="U26" s="1134">
        <f t="shared" si="12"/>
        <v>-5.9481442400436879E-3</v>
      </c>
      <c r="V26" s="1134">
        <f t="shared" si="12"/>
        <v>-2.2377590218431557E-4</v>
      </c>
      <c r="W26" s="1134">
        <f t="shared" si="12"/>
        <v>-1.8502343929225569E-2</v>
      </c>
      <c r="X26" s="1134">
        <f t="shared" si="12"/>
        <v>1.4598984979906932E-3</v>
      </c>
      <c r="Z26" s="735">
        <f t="shared" si="6"/>
        <v>1.1114745882138233</v>
      </c>
      <c r="AA26" s="1012"/>
      <c r="AB26" s="463">
        <f>IF('TAR_Tab 2_Volumina'!R29="storage",1,0)</f>
        <v>0</v>
      </c>
      <c r="AC26" s="736">
        <f t="shared" si="7"/>
        <v>1.1114745882138233</v>
      </c>
      <c r="AD26" s="736">
        <f t="shared" si="8"/>
        <v>1.1862669658434819</v>
      </c>
      <c r="AE26" s="1020"/>
      <c r="AF26" s="1019">
        <f t="shared" si="9"/>
        <v>1.1862669658434819</v>
      </c>
      <c r="AG26" s="737">
        <f t="shared" si="10"/>
        <v>1.1859999999999999</v>
      </c>
      <c r="AH26" s="738">
        <f>AG26+'TAR_Tab 14_Overige tarieven'!$AA$14+'TAR_Tab 14_Overige tarieven'!$AA$15</f>
        <v>1.3659999999999999</v>
      </c>
      <c r="AI26" s="1315"/>
      <c r="AJ26" s="22"/>
    </row>
    <row r="27" spans="1:36">
      <c r="A27" s="644">
        <v>301076</v>
      </c>
      <c r="B27" s="1286" t="s">
        <v>431</v>
      </c>
      <c r="C27" s="1022"/>
      <c r="D27" s="1392"/>
      <c r="E27" s="740"/>
      <c r="F27" s="1017">
        <v>0.9995770795093224</v>
      </c>
      <c r="G27" s="739">
        <f t="shared" si="4"/>
        <v>0.95119754886107122</v>
      </c>
      <c r="H27" s="739">
        <f t="shared" si="0"/>
        <v>0.9734279920246951</v>
      </c>
      <c r="I27" s="740"/>
      <c r="J27" s="741">
        <f t="shared" si="1"/>
        <v>0.92475659242346031</v>
      </c>
      <c r="K27" s="741">
        <f t="shared" si="2"/>
        <v>1.02209939162593</v>
      </c>
      <c r="L27" s="1314">
        <v>0.98095387444129811</v>
      </c>
      <c r="M27" s="66" t="b">
        <f t="shared" si="5"/>
        <v>1</v>
      </c>
      <c r="N27" s="734">
        <f t="shared" si="11"/>
        <v>0.98095387444129811</v>
      </c>
      <c r="P27" s="1134">
        <f t="shared" ref="P27:X36" si="13">$N27*P$5</f>
        <v>-4.5494540338019307E-2</v>
      </c>
      <c r="Q27" s="1134">
        <f t="shared" si="13"/>
        <v>4.7074726576851349E-2</v>
      </c>
      <c r="R27" s="1134">
        <f t="shared" si="13"/>
        <v>0</v>
      </c>
      <c r="S27" s="1134">
        <f t="shared" si="13"/>
        <v>1.7734227314275786E-3</v>
      </c>
      <c r="T27" s="1134">
        <f t="shared" si="13"/>
        <v>4.1072133821624925E-2</v>
      </c>
      <c r="U27" s="1134">
        <f t="shared" si="13"/>
        <v>-5.3751346073711076E-3</v>
      </c>
      <c r="V27" s="1134">
        <f t="shared" si="13"/>
        <v>-2.0221863283493137E-4</v>
      </c>
      <c r="W27" s="1134">
        <f t="shared" si="13"/>
        <v>-1.6719935690519269E-2</v>
      </c>
      <c r="X27" s="1134">
        <f t="shared" si="13"/>
        <v>1.3192603647656732E-3</v>
      </c>
      <c r="Z27" s="735">
        <f t="shared" si="6"/>
        <v>1.0044015886672231</v>
      </c>
      <c r="AA27" s="1012"/>
      <c r="AB27" s="463">
        <f>IF('TAR_Tab 2_Volumina'!R30="storage",1,0)</f>
        <v>0</v>
      </c>
      <c r="AC27" s="736">
        <f t="shared" si="7"/>
        <v>1.0044015886672231</v>
      </c>
      <c r="AD27" s="736">
        <f t="shared" si="8"/>
        <v>1.0719889034902734</v>
      </c>
      <c r="AE27" s="1020"/>
      <c r="AF27" s="1019">
        <f t="shared" si="9"/>
        <v>1.0719889034902734</v>
      </c>
      <c r="AG27" s="737">
        <f t="shared" si="10"/>
        <v>1.0720000000000001</v>
      </c>
      <c r="AH27" s="738">
        <f>AG27+'TAR_Tab 14_Overige tarieven'!$AA$14+'TAR_Tab 14_Overige tarieven'!$AA$15</f>
        <v>1.252</v>
      </c>
      <c r="AI27" s="1315"/>
      <c r="AJ27" s="22"/>
    </row>
    <row r="28" spans="1:36">
      <c r="A28" s="644">
        <v>301078</v>
      </c>
      <c r="B28" s="1286" t="s">
        <v>432</v>
      </c>
      <c r="C28" s="1022"/>
      <c r="D28" s="1392"/>
      <c r="E28" s="740"/>
      <c r="F28" s="1017">
        <v>1.0269239996091064</v>
      </c>
      <c r="G28" s="739">
        <f t="shared" si="4"/>
        <v>0.97722087802802571</v>
      </c>
      <c r="H28" s="739">
        <f t="shared" si="0"/>
        <v>1.0000595125612204</v>
      </c>
      <c r="I28" s="740"/>
      <c r="J28" s="741">
        <f t="shared" si="1"/>
        <v>0.95005653693315928</v>
      </c>
      <c r="K28" s="741">
        <f t="shared" si="2"/>
        <v>1.0500624881892815</v>
      </c>
      <c r="L28" s="1314">
        <v>1.0077912917609191</v>
      </c>
      <c r="M28" s="66" t="b">
        <f t="shared" si="5"/>
        <v>1</v>
      </c>
      <c r="N28" s="734">
        <f t="shared" si="11"/>
        <v>1.0077912917609191</v>
      </c>
      <c r="P28" s="1134">
        <f t="shared" si="13"/>
        <v>-4.6739202290663251E-2</v>
      </c>
      <c r="Q28" s="1134">
        <f t="shared" si="13"/>
        <v>4.8362620039802968E-2</v>
      </c>
      <c r="R28" s="1134">
        <f t="shared" si="13"/>
        <v>0</v>
      </c>
      <c r="S28" s="1134">
        <f t="shared" si="13"/>
        <v>1.8219409004949379E-3</v>
      </c>
      <c r="T28" s="1134">
        <f t="shared" si="13"/>
        <v>4.219580540731091E-2</v>
      </c>
      <c r="U28" s="1134">
        <f t="shared" si="13"/>
        <v>-5.5221901768180556E-3</v>
      </c>
      <c r="V28" s="1134">
        <f t="shared" si="13"/>
        <v>-2.07751029393623E-4</v>
      </c>
      <c r="W28" s="1134">
        <f t="shared" si="13"/>
        <v>-1.7177367893373107E-2</v>
      </c>
      <c r="X28" s="1134">
        <f t="shared" si="13"/>
        <v>1.3553533370092631E-3</v>
      </c>
      <c r="Z28" s="735">
        <f t="shared" si="6"/>
        <v>1.0318805000552891</v>
      </c>
      <c r="AA28" s="1012"/>
      <c r="AB28" s="463">
        <f>IF('TAR_Tab 2_Volumina'!R31="storage",1,0)</f>
        <v>0</v>
      </c>
      <c r="AC28" s="736">
        <f t="shared" si="7"/>
        <v>1.0318805000552891</v>
      </c>
      <c r="AD28" s="736">
        <f t="shared" si="8"/>
        <v>1.1013169017933098</v>
      </c>
      <c r="AE28" s="1020"/>
      <c r="AF28" s="1019">
        <f t="shared" si="9"/>
        <v>1.1013169017933098</v>
      </c>
      <c r="AG28" s="737">
        <f t="shared" si="10"/>
        <v>1.101</v>
      </c>
      <c r="AH28" s="738">
        <f>AG28+'TAR_Tab 14_Overige tarieven'!$AA$14+'TAR_Tab 14_Overige tarieven'!$AA$15</f>
        <v>1.2809999999999999</v>
      </c>
      <c r="AI28" s="1315"/>
      <c r="AJ28" s="22"/>
    </row>
    <row r="29" spans="1:36">
      <c r="A29" s="644">
        <v>301080</v>
      </c>
      <c r="B29" s="1286" t="s">
        <v>433</v>
      </c>
      <c r="C29" s="1022"/>
      <c r="D29" s="1392"/>
      <c r="E29" s="740"/>
      <c r="F29" s="1017">
        <v>1.789808770668579</v>
      </c>
      <c r="G29" s="739">
        <f t="shared" si="4"/>
        <v>1.7031820261682198</v>
      </c>
      <c r="H29" s="739">
        <f t="shared" si="0"/>
        <v>1.7429871027008219</v>
      </c>
      <c r="I29" s="740"/>
      <c r="J29" s="741">
        <f t="shared" si="1"/>
        <v>1.6558377475657808</v>
      </c>
      <c r="K29" s="741">
        <f t="shared" si="2"/>
        <v>1.830136457835863</v>
      </c>
      <c r="L29" s="1314">
        <v>1.7564626921599846</v>
      </c>
      <c r="M29" s="66" t="b">
        <f t="shared" si="5"/>
        <v>1</v>
      </c>
      <c r="N29" s="734">
        <f t="shared" si="11"/>
        <v>1.7564626921599846</v>
      </c>
      <c r="P29" s="1134">
        <f t="shared" si="13"/>
        <v>-8.146097883166098E-2</v>
      </c>
      <c r="Q29" s="1134">
        <f t="shared" si="13"/>
        <v>8.4290406644211183E-2</v>
      </c>
      <c r="R29" s="1134">
        <f t="shared" si="13"/>
        <v>0</v>
      </c>
      <c r="S29" s="1134">
        <f t="shared" si="13"/>
        <v>3.175430513442966E-3</v>
      </c>
      <c r="T29" s="1134">
        <f t="shared" si="13"/>
        <v>7.3542367918343496E-2</v>
      </c>
      <c r="U29" s="1134">
        <f t="shared" si="13"/>
        <v>-9.6245334762173219E-3</v>
      </c>
      <c r="V29" s="1134">
        <f t="shared" si="13"/>
        <v>-3.6208581615160349E-4</v>
      </c>
      <c r="W29" s="1134">
        <f t="shared" si="13"/>
        <v>-2.993814900057129E-2</v>
      </c>
      <c r="X29" s="1134">
        <f t="shared" si="13"/>
        <v>2.3622228040804222E-3</v>
      </c>
      <c r="Z29" s="735">
        <f t="shared" si="6"/>
        <v>1.7984473729154615</v>
      </c>
      <c r="AA29" s="1012"/>
      <c r="AB29" s="463">
        <f>IF('TAR_Tab 2_Volumina'!R32="storage",1,0)</f>
        <v>0</v>
      </c>
      <c r="AC29" s="736">
        <f t="shared" si="7"/>
        <v>1.7984473729154615</v>
      </c>
      <c r="AD29" s="736">
        <f t="shared" si="8"/>
        <v>1.9194669234193764</v>
      </c>
      <c r="AE29" s="1020"/>
      <c r="AF29" s="1019">
        <f t="shared" si="9"/>
        <v>1.9194669234193764</v>
      </c>
      <c r="AG29" s="737">
        <f t="shared" si="10"/>
        <v>1.919</v>
      </c>
      <c r="AH29" s="738">
        <f>AG29+'TAR_Tab 14_Overige tarieven'!$AA$14+'TAR_Tab 14_Overige tarieven'!$AA$15</f>
        <v>2.0990000000000002</v>
      </c>
      <c r="AI29" s="1315"/>
      <c r="AJ29" s="22"/>
    </row>
    <row r="30" spans="1:36">
      <c r="A30" s="644">
        <v>301082</v>
      </c>
      <c r="B30" s="1286" t="s">
        <v>39</v>
      </c>
      <c r="C30" s="1022"/>
      <c r="D30" s="1392"/>
      <c r="E30" s="740"/>
      <c r="F30" s="1017">
        <v>1.0269239996091064</v>
      </c>
      <c r="G30" s="739">
        <f t="shared" si="4"/>
        <v>0.97722087802802571</v>
      </c>
      <c r="H30" s="739">
        <f t="shared" si="0"/>
        <v>1.0000595125612204</v>
      </c>
      <c r="I30" s="740"/>
      <c r="J30" s="741">
        <f t="shared" si="1"/>
        <v>0.95005653693315928</v>
      </c>
      <c r="K30" s="741">
        <f t="shared" si="2"/>
        <v>1.0500624881892815</v>
      </c>
      <c r="L30" s="1314">
        <v>1.0077912917609191</v>
      </c>
      <c r="M30" s="66" t="b">
        <f t="shared" si="5"/>
        <v>1</v>
      </c>
      <c r="N30" s="734">
        <f t="shared" si="11"/>
        <v>1.0077912917609191</v>
      </c>
      <c r="P30" s="1134">
        <f t="shared" si="13"/>
        <v>-4.6739202290663251E-2</v>
      </c>
      <c r="Q30" s="1134">
        <f t="shared" si="13"/>
        <v>4.8362620039802968E-2</v>
      </c>
      <c r="R30" s="1134">
        <f t="shared" si="13"/>
        <v>0</v>
      </c>
      <c r="S30" s="1134">
        <f t="shared" si="13"/>
        <v>1.8219409004949379E-3</v>
      </c>
      <c r="T30" s="1134">
        <f t="shared" si="13"/>
        <v>4.219580540731091E-2</v>
      </c>
      <c r="U30" s="1134">
        <f t="shared" si="13"/>
        <v>-5.5221901768180556E-3</v>
      </c>
      <c r="V30" s="1134">
        <f t="shared" si="13"/>
        <v>-2.07751029393623E-4</v>
      </c>
      <c r="W30" s="1134">
        <f t="shared" si="13"/>
        <v>-1.7177367893373107E-2</v>
      </c>
      <c r="X30" s="1134">
        <f t="shared" si="13"/>
        <v>1.3553533370092631E-3</v>
      </c>
      <c r="Z30" s="735">
        <f t="shared" si="6"/>
        <v>1.0318805000552891</v>
      </c>
      <c r="AA30" s="1012"/>
      <c r="AB30" s="463">
        <f>IF('TAR_Tab 2_Volumina'!R33="storage",1,0)</f>
        <v>0</v>
      </c>
      <c r="AC30" s="736">
        <f t="shared" si="7"/>
        <v>1.0318805000552891</v>
      </c>
      <c r="AD30" s="736">
        <f t="shared" si="8"/>
        <v>1.1013169017933098</v>
      </c>
      <c r="AE30" s="1020"/>
      <c r="AF30" s="1019">
        <f t="shared" si="9"/>
        <v>1.1013169017933098</v>
      </c>
      <c r="AG30" s="737">
        <f t="shared" si="10"/>
        <v>1.101</v>
      </c>
      <c r="AH30" s="738">
        <f>AG30+'TAR_Tab 14_Overige tarieven'!$AA$14+'TAR_Tab 14_Overige tarieven'!$AA$15</f>
        <v>1.2809999999999999</v>
      </c>
      <c r="AI30" s="1315"/>
      <c r="AJ30" s="22"/>
    </row>
    <row r="31" spans="1:36">
      <c r="A31" s="644">
        <v>301083</v>
      </c>
      <c r="B31" s="1286" t="s">
        <v>434</v>
      </c>
      <c r="C31" s="1022"/>
      <c r="D31" s="1392"/>
      <c r="E31" s="740"/>
      <c r="F31" s="1017">
        <v>1.0269239996091064</v>
      </c>
      <c r="G31" s="739">
        <f t="shared" si="4"/>
        <v>0.97722087802802571</v>
      </c>
      <c r="H31" s="739">
        <f t="shared" si="0"/>
        <v>1.0000595125612204</v>
      </c>
      <c r="I31" s="740"/>
      <c r="J31" s="741">
        <f t="shared" si="1"/>
        <v>0.95005653693315928</v>
      </c>
      <c r="K31" s="741">
        <f t="shared" si="2"/>
        <v>1.0500624881892815</v>
      </c>
      <c r="L31" s="1314">
        <v>1.0077912917609191</v>
      </c>
      <c r="M31" s="66" t="b">
        <f t="shared" si="5"/>
        <v>1</v>
      </c>
      <c r="N31" s="734">
        <f t="shared" si="11"/>
        <v>1.0077912917609191</v>
      </c>
      <c r="P31" s="1134">
        <f t="shared" si="13"/>
        <v>-4.6739202290663251E-2</v>
      </c>
      <c r="Q31" s="1134">
        <f t="shared" si="13"/>
        <v>4.8362620039802968E-2</v>
      </c>
      <c r="R31" s="1134">
        <f t="shared" si="13"/>
        <v>0</v>
      </c>
      <c r="S31" s="1134">
        <f t="shared" si="13"/>
        <v>1.8219409004949379E-3</v>
      </c>
      <c r="T31" s="1134">
        <f t="shared" si="13"/>
        <v>4.219580540731091E-2</v>
      </c>
      <c r="U31" s="1134">
        <f t="shared" si="13"/>
        <v>-5.5221901768180556E-3</v>
      </c>
      <c r="V31" s="1134">
        <f t="shared" si="13"/>
        <v>-2.07751029393623E-4</v>
      </c>
      <c r="W31" s="1134">
        <f t="shared" si="13"/>
        <v>-1.7177367893373107E-2</v>
      </c>
      <c r="X31" s="1134">
        <f t="shared" si="13"/>
        <v>1.3553533370092631E-3</v>
      </c>
      <c r="Z31" s="735">
        <f t="shared" si="6"/>
        <v>1.0318805000552891</v>
      </c>
      <c r="AA31" s="1012"/>
      <c r="AB31" s="463">
        <f>IF('TAR_Tab 2_Volumina'!R34="storage",1,0)</f>
        <v>0</v>
      </c>
      <c r="AC31" s="736">
        <f t="shared" si="7"/>
        <v>1.0318805000552891</v>
      </c>
      <c r="AD31" s="736">
        <f t="shared" si="8"/>
        <v>1.1013169017933098</v>
      </c>
      <c r="AE31" s="1020"/>
      <c r="AF31" s="1019">
        <f t="shared" si="9"/>
        <v>1.1013169017933098</v>
      </c>
      <c r="AG31" s="737">
        <f t="shared" si="10"/>
        <v>1.101</v>
      </c>
      <c r="AH31" s="738">
        <f>AG31+'TAR_Tab 14_Overige tarieven'!$AA$14+'TAR_Tab 14_Overige tarieven'!$AA$15</f>
        <v>1.2809999999999999</v>
      </c>
      <c r="AI31" s="1315"/>
      <c r="AJ31" s="22"/>
    </row>
    <row r="32" spans="1:36">
      <c r="A32" s="644">
        <v>301084</v>
      </c>
      <c r="B32" s="1286" t="s">
        <v>40</v>
      </c>
      <c r="C32" s="1022"/>
      <c r="D32" s="1392"/>
      <c r="E32" s="740"/>
      <c r="F32" s="1017">
        <v>1.0731957267955403</v>
      </c>
      <c r="G32" s="739">
        <f t="shared" si="4"/>
        <v>1.0212530536186362</v>
      </c>
      <c r="H32" s="739">
        <f t="shared" si="0"/>
        <v>1.0451207643705511</v>
      </c>
      <c r="I32" s="740"/>
      <c r="J32" s="741">
        <f t="shared" si="1"/>
        <v>0.99286472615202348</v>
      </c>
      <c r="K32" s="741">
        <f t="shared" si="2"/>
        <v>1.0973768025890787</v>
      </c>
      <c r="L32" s="1314">
        <v>1.0532009264865421</v>
      </c>
      <c r="M32" s="66" t="b">
        <f t="shared" si="5"/>
        <v>1</v>
      </c>
      <c r="N32" s="734">
        <f t="shared" si="11"/>
        <v>1.0532009264865421</v>
      </c>
      <c r="P32" s="1134">
        <f t="shared" si="13"/>
        <v>-4.8845203920899131E-2</v>
      </c>
      <c r="Q32" s="1134">
        <f t="shared" si="13"/>
        <v>5.0541770552747209E-2</v>
      </c>
      <c r="R32" s="1134">
        <f t="shared" si="13"/>
        <v>0</v>
      </c>
      <c r="S32" s="1134">
        <f t="shared" si="13"/>
        <v>1.9040349525665597E-3</v>
      </c>
      <c r="T32" s="1134">
        <f t="shared" si="13"/>
        <v>4.4097088069866418E-2</v>
      </c>
      <c r="U32" s="1134">
        <f t="shared" si="13"/>
        <v>-5.7710121708805127E-3</v>
      </c>
      <c r="V32" s="1134">
        <f t="shared" si="13"/>
        <v>-2.1711199374781253E-4</v>
      </c>
      <c r="W32" s="1134">
        <f t="shared" si="13"/>
        <v>-1.7951355531451212E-2</v>
      </c>
      <c r="X32" s="1134">
        <f t="shared" si="13"/>
        <v>1.4164236205698652E-3</v>
      </c>
      <c r="Z32" s="735">
        <f t="shared" si="6"/>
        <v>1.0783755600653135</v>
      </c>
      <c r="AA32" s="1012"/>
      <c r="AB32" s="463">
        <f>IF('TAR_Tab 2_Volumina'!R35="storage",1,0)</f>
        <v>0</v>
      </c>
      <c r="AC32" s="736">
        <f t="shared" si="7"/>
        <v>1.0783755600653135</v>
      </c>
      <c r="AD32" s="736">
        <f t="shared" si="8"/>
        <v>1.1509406667895381</v>
      </c>
      <c r="AE32" s="1020"/>
      <c r="AF32" s="1019">
        <f t="shared" si="9"/>
        <v>1.1509406667895381</v>
      </c>
      <c r="AG32" s="737">
        <f t="shared" si="10"/>
        <v>1.151</v>
      </c>
      <c r="AH32" s="738">
        <f>AG32+'TAR_Tab 14_Overige tarieven'!$AA$14+'TAR_Tab 14_Overige tarieven'!$AA$15</f>
        <v>1.331</v>
      </c>
      <c r="AI32" s="1315"/>
      <c r="AJ32" s="22"/>
    </row>
    <row r="33" spans="1:36">
      <c r="A33" s="644">
        <v>301085</v>
      </c>
      <c r="B33" s="1286" t="s">
        <v>435</v>
      </c>
      <c r="C33" s="1022"/>
      <c r="D33" s="1392"/>
      <c r="E33" s="740"/>
      <c r="F33" s="1017">
        <v>1.1061357681739954</v>
      </c>
      <c r="G33" s="739">
        <f t="shared" si="4"/>
        <v>1.052598796994374</v>
      </c>
      <c r="H33" s="739">
        <f t="shared" si="0"/>
        <v>1.077199089287705</v>
      </c>
      <c r="I33" s="740"/>
      <c r="J33" s="741">
        <f t="shared" si="1"/>
        <v>1.0233391348233196</v>
      </c>
      <c r="K33" s="741">
        <f t="shared" si="2"/>
        <v>1.1310590437520904</v>
      </c>
      <c r="L33" s="1314">
        <v>1.0855272591694742</v>
      </c>
      <c r="M33" s="66" t="b">
        <f t="shared" si="5"/>
        <v>1</v>
      </c>
      <c r="N33" s="734">
        <f t="shared" si="11"/>
        <v>1.0855272591694742</v>
      </c>
      <c r="P33" s="1134">
        <f t="shared" si="13"/>
        <v>-5.0344430015562873E-2</v>
      </c>
      <c r="Q33" s="1134">
        <f t="shared" si="13"/>
        <v>5.2093070070421348E-2</v>
      </c>
      <c r="R33" s="1134">
        <f t="shared" si="13"/>
        <v>0</v>
      </c>
      <c r="S33" s="1134">
        <f t="shared" si="13"/>
        <v>1.9624762867590092E-3</v>
      </c>
      <c r="T33" s="1134">
        <f t="shared" si="13"/>
        <v>4.5450578276194371E-2</v>
      </c>
      <c r="U33" s="1134">
        <f t="shared" si="13"/>
        <v>-5.9481442400436879E-3</v>
      </c>
      <c r="V33" s="1134">
        <f t="shared" si="13"/>
        <v>-2.2377590218431557E-4</v>
      </c>
      <c r="W33" s="1134">
        <f t="shared" si="13"/>
        <v>-1.8502343929225569E-2</v>
      </c>
      <c r="X33" s="1134">
        <f t="shared" si="13"/>
        <v>1.4598984979906932E-3</v>
      </c>
      <c r="Z33" s="735">
        <f t="shared" si="6"/>
        <v>1.1114745882138233</v>
      </c>
      <c r="AA33" s="1012"/>
      <c r="AB33" s="463">
        <f>IF('TAR_Tab 2_Volumina'!R36="storage",1,0)</f>
        <v>0</v>
      </c>
      <c r="AC33" s="736">
        <f t="shared" si="7"/>
        <v>1.1114745882138233</v>
      </c>
      <c r="AD33" s="736">
        <f t="shared" si="8"/>
        <v>1.1862669658434819</v>
      </c>
      <c r="AE33" s="1020"/>
      <c r="AF33" s="1019">
        <f t="shared" si="9"/>
        <v>1.1862669658434819</v>
      </c>
      <c r="AG33" s="737">
        <f t="shared" si="10"/>
        <v>1.1859999999999999</v>
      </c>
      <c r="AH33" s="738">
        <f>AG33+'TAR_Tab 14_Overige tarieven'!$AA$14+'TAR_Tab 14_Overige tarieven'!$AA$15</f>
        <v>1.3659999999999999</v>
      </c>
      <c r="AI33" s="1315"/>
      <c r="AJ33" s="22"/>
    </row>
    <row r="34" spans="1:36">
      <c r="A34" s="644">
        <v>301086</v>
      </c>
      <c r="B34" s="1286" t="s">
        <v>41</v>
      </c>
      <c r="C34" s="1022"/>
      <c r="D34" s="1392"/>
      <c r="E34" s="740"/>
      <c r="F34" s="1017">
        <v>1.1876024410671404</v>
      </c>
      <c r="G34" s="739">
        <f t="shared" si="4"/>
        <v>1.1301224829194909</v>
      </c>
      <c r="H34" s="739">
        <f t="shared" si="0"/>
        <v>1.156534581704393</v>
      </c>
      <c r="I34" s="740"/>
      <c r="J34" s="741">
        <f t="shared" si="1"/>
        <v>1.0987078526191734</v>
      </c>
      <c r="K34" s="741">
        <f t="shared" si="2"/>
        <v>1.2143613107896127</v>
      </c>
      <c r="L34" s="1314">
        <v>1.1654761195931265</v>
      </c>
      <c r="M34" s="66" t="b">
        <f t="shared" si="5"/>
        <v>1</v>
      </c>
      <c r="N34" s="734">
        <f t="shared" si="11"/>
        <v>1.1654761195931265</v>
      </c>
      <c r="P34" s="1134">
        <f t="shared" si="13"/>
        <v>-5.4052286980391225E-2</v>
      </c>
      <c r="Q34" s="1134">
        <f t="shared" si="13"/>
        <v>5.592971401733253E-2</v>
      </c>
      <c r="R34" s="1134">
        <f t="shared" si="13"/>
        <v>0</v>
      </c>
      <c r="S34" s="1134">
        <f t="shared" si="13"/>
        <v>2.107012263547712E-3</v>
      </c>
      <c r="T34" s="1134">
        <f t="shared" si="13"/>
        <v>4.879800406222011E-2</v>
      </c>
      <c r="U34" s="1134">
        <f t="shared" si="13"/>
        <v>-6.3862238457007949E-3</v>
      </c>
      <c r="V34" s="1134">
        <f t="shared" si="13"/>
        <v>-2.4025695157187183E-4</v>
      </c>
      <c r="W34" s="1134">
        <f t="shared" si="13"/>
        <v>-1.9865037772068186E-2</v>
      </c>
      <c r="X34" s="1134">
        <f t="shared" si="13"/>
        <v>1.5674197235174077E-3</v>
      </c>
      <c r="Z34" s="735">
        <f t="shared" si="6"/>
        <v>1.1933344641100121</v>
      </c>
      <c r="AA34" s="1012"/>
      <c r="AB34" s="463">
        <f>IF('TAR_Tab 2_Volumina'!R37="storage",1,0)</f>
        <v>0</v>
      </c>
      <c r="AC34" s="736">
        <f t="shared" si="7"/>
        <v>1.1933344641100121</v>
      </c>
      <c r="AD34" s="736">
        <f t="shared" si="8"/>
        <v>1.2736352850416304</v>
      </c>
      <c r="AE34" s="1020"/>
      <c r="AF34" s="1019">
        <f t="shared" si="9"/>
        <v>1.2736352850416304</v>
      </c>
      <c r="AG34" s="737">
        <f t="shared" si="10"/>
        <v>1.274</v>
      </c>
      <c r="AH34" s="738">
        <f>AG34+'TAR_Tab 14_Overige tarieven'!$AA$14+'TAR_Tab 14_Overige tarieven'!$AA$15</f>
        <v>1.454</v>
      </c>
      <c r="AI34" s="1315"/>
      <c r="AJ34" s="22"/>
    </row>
    <row r="35" spans="1:36">
      <c r="A35" s="644">
        <v>301088</v>
      </c>
      <c r="B35" s="1286" t="s">
        <v>42</v>
      </c>
      <c r="C35" s="1022"/>
      <c r="D35" s="1392"/>
      <c r="E35" s="740"/>
      <c r="F35" s="1017">
        <v>1.1061357681739954</v>
      </c>
      <c r="G35" s="739">
        <f t="shared" si="4"/>
        <v>1.052598796994374</v>
      </c>
      <c r="H35" s="739">
        <f t="shared" si="0"/>
        <v>1.077199089287705</v>
      </c>
      <c r="I35" s="740"/>
      <c r="J35" s="741">
        <f t="shared" si="1"/>
        <v>1.0233391348233196</v>
      </c>
      <c r="K35" s="741">
        <f t="shared" si="2"/>
        <v>1.1310590437520904</v>
      </c>
      <c r="L35" s="1314">
        <v>1.0855272591694742</v>
      </c>
      <c r="M35" s="66" t="b">
        <f t="shared" si="5"/>
        <v>1</v>
      </c>
      <c r="N35" s="734">
        <f t="shared" si="11"/>
        <v>1.0855272591694742</v>
      </c>
      <c r="P35" s="1134">
        <f t="shared" si="13"/>
        <v>-5.0344430015562873E-2</v>
      </c>
      <c r="Q35" s="1134">
        <f t="shared" si="13"/>
        <v>5.2093070070421348E-2</v>
      </c>
      <c r="R35" s="1134">
        <f t="shared" si="13"/>
        <v>0</v>
      </c>
      <c r="S35" s="1134">
        <f t="shared" si="13"/>
        <v>1.9624762867590092E-3</v>
      </c>
      <c r="T35" s="1134">
        <f t="shared" si="13"/>
        <v>4.5450578276194371E-2</v>
      </c>
      <c r="U35" s="1134">
        <f t="shared" si="13"/>
        <v>-5.9481442400436879E-3</v>
      </c>
      <c r="V35" s="1134">
        <f t="shared" si="13"/>
        <v>-2.2377590218431557E-4</v>
      </c>
      <c r="W35" s="1134">
        <f t="shared" si="13"/>
        <v>-1.8502343929225569E-2</v>
      </c>
      <c r="X35" s="1134">
        <f t="shared" si="13"/>
        <v>1.4598984979906932E-3</v>
      </c>
      <c r="Z35" s="735">
        <f t="shared" si="6"/>
        <v>1.1114745882138233</v>
      </c>
      <c r="AA35" s="1012"/>
      <c r="AB35" s="463">
        <f>IF('TAR_Tab 2_Volumina'!R38="storage",1,0)</f>
        <v>0</v>
      </c>
      <c r="AC35" s="736">
        <f t="shared" si="7"/>
        <v>1.1114745882138233</v>
      </c>
      <c r="AD35" s="736">
        <f t="shared" si="8"/>
        <v>1.1862669658434819</v>
      </c>
      <c r="AE35" s="1020"/>
      <c r="AF35" s="1019">
        <f t="shared" si="9"/>
        <v>1.1862669658434819</v>
      </c>
      <c r="AG35" s="737">
        <f t="shared" si="10"/>
        <v>1.1859999999999999</v>
      </c>
      <c r="AH35" s="738">
        <f>AG35+'TAR_Tab 14_Overige tarieven'!$AA$14+'TAR_Tab 14_Overige tarieven'!$AA$15</f>
        <v>1.3659999999999999</v>
      </c>
      <c r="AI35" s="1315"/>
      <c r="AJ35" s="22"/>
    </row>
    <row r="36" spans="1:36">
      <c r="A36" s="644">
        <v>301089</v>
      </c>
      <c r="B36" s="1286" t="s">
        <v>436</v>
      </c>
      <c r="C36" s="1022"/>
      <c r="D36" s="1392"/>
      <c r="E36" s="740"/>
      <c r="F36" s="1017">
        <v>0.9995770795093224</v>
      </c>
      <c r="G36" s="739">
        <f t="shared" si="4"/>
        <v>0.95119754886107122</v>
      </c>
      <c r="H36" s="739">
        <f t="shared" si="0"/>
        <v>0.9734279920246951</v>
      </c>
      <c r="I36" s="740"/>
      <c r="J36" s="741">
        <f t="shared" si="1"/>
        <v>0.92475659242346031</v>
      </c>
      <c r="K36" s="741">
        <f t="shared" si="2"/>
        <v>1.02209939162593</v>
      </c>
      <c r="L36" s="1314">
        <v>0.99286472615202348</v>
      </c>
      <c r="M36" s="66" t="b">
        <f t="shared" si="5"/>
        <v>1</v>
      </c>
      <c r="N36" s="734">
        <f t="shared" si="11"/>
        <v>0.99286472615202348</v>
      </c>
      <c r="P36" s="1134">
        <f t="shared" si="13"/>
        <v>-4.6046940137573988E-2</v>
      </c>
      <c r="Q36" s="1134">
        <f t="shared" si="13"/>
        <v>4.7646313174538386E-2</v>
      </c>
      <c r="R36" s="1134">
        <f t="shared" si="13"/>
        <v>0</v>
      </c>
      <c r="S36" s="1134">
        <f t="shared" si="13"/>
        <v>1.7949558286759013E-3</v>
      </c>
      <c r="T36" s="1134">
        <f t="shared" si="13"/>
        <v>4.1570836266396925E-2</v>
      </c>
      <c r="U36" s="1134">
        <f t="shared" si="13"/>
        <v>-5.4404000932432636E-3</v>
      </c>
      <c r="V36" s="1134">
        <f t="shared" si="13"/>
        <v>-2.0467399410277313E-4</v>
      </c>
      <c r="W36" s="1134">
        <f t="shared" si="13"/>
        <v>-1.6922951020609141E-2</v>
      </c>
      <c r="X36" s="1134">
        <f t="shared" si="13"/>
        <v>1.3352789717379033E-3</v>
      </c>
      <c r="Z36" s="735">
        <f t="shared" si="6"/>
        <v>1.0165971451478435</v>
      </c>
      <c r="AA36" s="1012"/>
      <c r="AB36" s="463">
        <f>IF('TAR_Tab 2_Volumina'!R39="storage",1,0)</f>
        <v>0</v>
      </c>
      <c r="AC36" s="736">
        <f t="shared" si="7"/>
        <v>1.0165971451478435</v>
      </c>
      <c r="AD36" s="736">
        <f t="shared" si="8"/>
        <v>1.0850051127103941</v>
      </c>
      <c r="AE36" s="1020"/>
      <c r="AF36" s="1019">
        <f t="shared" si="9"/>
        <v>1.0850051127103941</v>
      </c>
      <c r="AG36" s="737">
        <f t="shared" si="10"/>
        <v>1.085</v>
      </c>
      <c r="AH36" s="738">
        <f>AG36+'TAR_Tab 14_Overige tarieven'!$AA$14+'TAR_Tab 14_Overige tarieven'!$AA$15</f>
        <v>1.2649999999999999</v>
      </c>
      <c r="AI36" s="1315"/>
      <c r="AJ36" s="22"/>
    </row>
    <row r="37" spans="1:36">
      <c r="A37" s="644">
        <v>301090</v>
      </c>
      <c r="B37" s="1286" t="s">
        <v>657</v>
      </c>
      <c r="C37" s="1022"/>
      <c r="D37" s="1392"/>
      <c r="E37" s="740"/>
      <c r="F37" s="1017">
        <v>1.0269239996091064</v>
      </c>
      <c r="G37" s="739">
        <f t="shared" si="4"/>
        <v>0.97722087802802571</v>
      </c>
      <c r="H37" s="739">
        <f t="shared" si="0"/>
        <v>1.0000595125612204</v>
      </c>
      <c r="I37" s="740"/>
      <c r="J37" s="741">
        <f t="shared" si="1"/>
        <v>0.95005653693315928</v>
      </c>
      <c r="K37" s="741">
        <f t="shared" si="2"/>
        <v>1.0500624881892815</v>
      </c>
      <c r="L37" s="1314">
        <v>1.0077912917609191</v>
      </c>
      <c r="M37" s="66" t="b">
        <f t="shared" si="5"/>
        <v>1</v>
      </c>
      <c r="N37" s="734">
        <f t="shared" si="11"/>
        <v>1.0077912917609191</v>
      </c>
      <c r="P37" s="1134">
        <f t="shared" ref="P37:X46" si="14">$N37*P$5</f>
        <v>-4.6739202290663251E-2</v>
      </c>
      <c r="Q37" s="1134">
        <f t="shared" si="14"/>
        <v>4.8362620039802968E-2</v>
      </c>
      <c r="R37" s="1134">
        <f t="shared" si="14"/>
        <v>0</v>
      </c>
      <c r="S37" s="1134">
        <f t="shared" si="14"/>
        <v>1.8219409004949379E-3</v>
      </c>
      <c r="T37" s="1134">
        <f t="shared" si="14"/>
        <v>4.219580540731091E-2</v>
      </c>
      <c r="U37" s="1134">
        <f t="shared" si="14"/>
        <v>-5.5221901768180556E-3</v>
      </c>
      <c r="V37" s="1134">
        <f t="shared" si="14"/>
        <v>-2.07751029393623E-4</v>
      </c>
      <c r="W37" s="1134">
        <f t="shared" si="14"/>
        <v>-1.7177367893373107E-2</v>
      </c>
      <c r="X37" s="1134">
        <f t="shared" si="14"/>
        <v>1.3553533370092631E-3</v>
      </c>
      <c r="Z37" s="735">
        <f t="shared" si="6"/>
        <v>1.0318805000552891</v>
      </c>
      <c r="AA37" s="1012"/>
      <c r="AB37" s="463">
        <f>IF('TAR_Tab 2_Volumina'!R40="storage",1,0)</f>
        <v>0</v>
      </c>
      <c r="AC37" s="736">
        <f t="shared" si="7"/>
        <v>1.0318805000552891</v>
      </c>
      <c r="AD37" s="736">
        <f t="shared" si="8"/>
        <v>1.1013169017933098</v>
      </c>
      <c r="AE37" s="1020"/>
      <c r="AF37" s="1019">
        <f t="shared" si="9"/>
        <v>1.1013169017933098</v>
      </c>
      <c r="AG37" s="737">
        <f t="shared" si="10"/>
        <v>1.101</v>
      </c>
      <c r="AH37" s="738">
        <f>AG37+'TAR_Tab 14_Overige tarieven'!$AA$14+'TAR_Tab 14_Overige tarieven'!$AA$15</f>
        <v>1.2809999999999999</v>
      </c>
      <c r="AI37" s="1315"/>
      <c r="AJ37" s="22"/>
    </row>
    <row r="38" spans="1:36">
      <c r="A38" s="644">
        <v>301092</v>
      </c>
      <c r="B38" s="1286" t="s">
        <v>43</v>
      </c>
      <c r="C38" s="1022"/>
      <c r="D38" s="1392"/>
      <c r="E38" s="740"/>
      <c r="F38" s="1017">
        <v>1.6913767498111201</v>
      </c>
      <c r="G38" s="739">
        <f t="shared" si="4"/>
        <v>1.6095141151202619</v>
      </c>
      <c r="H38" s="739">
        <f t="shared" si="0"/>
        <v>1.647130078386855</v>
      </c>
      <c r="I38" s="740"/>
      <c r="J38" s="741">
        <f t="shared" si="1"/>
        <v>1.5647735744675122</v>
      </c>
      <c r="K38" s="741">
        <f t="shared" si="2"/>
        <v>1.7294865823061978</v>
      </c>
      <c r="L38" s="1314">
        <v>1.5647735744675122</v>
      </c>
      <c r="M38" s="66" t="b">
        <f t="shared" si="5"/>
        <v>1</v>
      </c>
      <c r="N38" s="734">
        <f t="shared" si="11"/>
        <v>1.5647735744675122</v>
      </c>
      <c r="P38" s="1134">
        <f t="shared" si="14"/>
        <v>-7.2570847986124079E-2</v>
      </c>
      <c r="Q38" s="1134">
        <f t="shared" si="14"/>
        <v>7.5091490121993995E-2</v>
      </c>
      <c r="R38" s="1134">
        <f t="shared" si="14"/>
        <v>0</v>
      </c>
      <c r="S38" s="1134">
        <f t="shared" si="14"/>
        <v>2.8288843123009978E-3</v>
      </c>
      <c r="T38" s="1134">
        <f t="shared" si="14"/>
        <v>6.5516423682689645E-2</v>
      </c>
      <c r="U38" s="1134">
        <f t="shared" si="14"/>
        <v>-8.5741733754918104E-3</v>
      </c>
      <c r="V38" s="1134">
        <f t="shared" si="14"/>
        <v>-3.2257008323176203E-4</v>
      </c>
      <c r="W38" s="1134">
        <f t="shared" si="14"/>
        <v>-2.6670890667740973E-2</v>
      </c>
      <c r="X38" s="1134">
        <f t="shared" si="14"/>
        <v>2.1044248974534533E-3</v>
      </c>
      <c r="Z38" s="735">
        <f t="shared" si="6"/>
        <v>1.6021763153693616</v>
      </c>
      <c r="AA38" s="1012"/>
      <c r="AB38" s="463">
        <f>IF('TAR_Tab 2_Volumina'!R41="storage",1,0)</f>
        <v>0</v>
      </c>
      <c r="AC38" s="736">
        <f t="shared" si="7"/>
        <v>1.6021763153693616</v>
      </c>
      <c r="AD38" s="736">
        <f t="shared" si="8"/>
        <v>1.7099885652211302</v>
      </c>
      <c r="AE38" s="1020"/>
      <c r="AF38" s="1019">
        <f t="shared" si="9"/>
        <v>1.7099885652211302</v>
      </c>
      <c r="AG38" s="737">
        <f t="shared" si="10"/>
        <v>1.71</v>
      </c>
      <c r="AH38" s="738">
        <f>AG38+'TAR_Tab 14_Overige tarieven'!$AA$14+'TAR_Tab 14_Overige tarieven'!$AA$15</f>
        <v>1.89</v>
      </c>
      <c r="AI38" s="1315"/>
      <c r="AJ38" s="22"/>
    </row>
    <row r="39" spans="1:36">
      <c r="A39" s="644">
        <v>301093</v>
      </c>
      <c r="B39" s="1286" t="s">
        <v>437</v>
      </c>
      <c r="C39" s="1022"/>
      <c r="D39" s="1392"/>
      <c r="E39" s="740"/>
      <c r="F39" s="1017">
        <v>1.0269239996091064</v>
      </c>
      <c r="G39" s="739">
        <f t="shared" ref="G39:G70" si="15">F39*$G$5</f>
        <v>0.97722087802802571</v>
      </c>
      <c r="H39" s="739">
        <f t="shared" ref="H39:H70" si="16">G39*$H$5</f>
        <v>1.0000595125612204</v>
      </c>
      <c r="I39" s="740"/>
      <c r="J39" s="741">
        <f t="shared" ref="J39:J70" si="17">H39*$J$5</f>
        <v>0.95005653693315928</v>
      </c>
      <c r="K39" s="741">
        <f t="shared" ref="K39:K70" si="18">H39*$K$5</f>
        <v>1.0500624881892815</v>
      </c>
      <c r="L39" s="1314">
        <v>1.0077912917609191</v>
      </c>
      <c r="M39" s="66" t="b">
        <f t="shared" si="5"/>
        <v>1</v>
      </c>
      <c r="N39" s="734">
        <f t="shared" ref="N39:N70" si="19">IF(L39&gt;0,L39,H39)</f>
        <v>1.0077912917609191</v>
      </c>
      <c r="P39" s="1134">
        <f t="shared" si="14"/>
        <v>-4.6739202290663251E-2</v>
      </c>
      <c r="Q39" s="1134">
        <f t="shared" si="14"/>
        <v>4.8362620039802968E-2</v>
      </c>
      <c r="R39" s="1134">
        <f t="shared" si="14"/>
        <v>0</v>
      </c>
      <c r="S39" s="1134">
        <f t="shared" si="14"/>
        <v>1.8219409004949379E-3</v>
      </c>
      <c r="T39" s="1134">
        <f t="shared" si="14"/>
        <v>4.219580540731091E-2</v>
      </c>
      <c r="U39" s="1134">
        <f t="shared" si="14"/>
        <v>-5.5221901768180556E-3</v>
      </c>
      <c r="V39" s="1134">
        <f t="shared" si="14"/>
        <v>-2.07751029393623E-4</v>
      </c>
      <c r="W39" s="1134">
        <f t="shared" si="14"/>
        <v>-1.7177367893373107E-2</v>
      </c>
      <c r="X39" s="1134">
        <f t="shared" si="14"/>
        <v>1.3553533370092631E-3</v>
      </c>
      <c r="Z39" s="735">
        <f t="shared" si="6"/>
        <v>1.0318805000552891</v>
      </c>
      <c r="AA39" s="1012"/>
      <c r="AB39" s="463">
        <f>IF('TAR_Tab 2_Volumina'!R42="storage",1,0)</f>
        <v>0</v>
      </c>
      <c r="AC39" s="736">
        <f t="shared" si="7"/>
        <v>1.0318805000552891</v>
      </c>
      <c r="AD39" s="736">
        <f t="shared" si="8"/>
        <v>1.1013169017933098</v>
      </c>
      <c r="AE39" s="1020"/>
      <c r="AF39" s="1019">
        <f t="shared" si="9"/>
        <v>1.1013169017933098</v>
      </c>
      <c r="AG39" s="737">
        <f t="shared" si="10"/>
        <v>1.101</v>
      </c>
      <c r="AH39" s="738">
        <f>AG39+'TAR_Tab 14_Overige tarieven'!$AA$14+'TAR_Tab 14_Overige tarieven'!$AA$15</f>
        <v>1.2809999999999999</v>
      </c>
      <c r="AI39" s="1315"/>
      <c r="AJ39" s="22"/>
    </row>
    <row r="40" spans="1:36">
      <c r="A40" s="644">
        <v>301094</v>
      </c>
      <c r="B40" s="1286" t="s">
        <v>438</v>
      </c>
      <c r="C40" s="1022"/>
      <c r="D40" s="1392"/>
      <c r="E40" s="740"/>
      <c r="F40" s="1017">
        <v>1.0391829637917673</v>
      </c>
      <c r="G40" s="739">
        <f t="shared" si="15"/>
        <v>0.98888650834424585</v>
      </c>
      <c r="H40" s="739">
        <f t="shared" si="16"/>
        <v>1.0119977803879379</v>
      </c>
      <c r="I40" s="740"/>
      <c r="J40" s="741">
        <f t="shared" si="17"/>
        <v>0.96139789136854092</v>
      </c>
      <c r="K40" s="741">
        <f t="shared" si="18"/>
        <v>1.0625976694073349</v>
      </c>
      <c r="L40" s="1314">
        <v>1.019821858145576</v>
      </c>
      <c r="M40" s="66" t="b">
        <f t="shared" si="5"/>
        <v>1</v>
      </c>
      <c r="N40" s="734">
        <f t="shared" si="19"/>
        <v>1.019821858145576</v>
      </c>
      <c r="P40" s="1134">
        <f t="shared" si="14"/>
        <v>-4.7297154200469128E-2</v>
      </c>
      <c r="Q40" s="1134">
        <f t="shared" si="14"/>
        <v>4.8939951592160552E-2</v>
      </c>
      <c r="R40" s="1134">
        <f t="shared" si="14"/>
        <v>0</v>
      </c>
      <c r="S40" s="1134">
        <f t="shared" si="14"/>
        <v>1.8436904245596149E-3</v>
      </c>
      <c r="T40" s="1134">
        <f t="shared" si="14"/>
        <v>4.2699520256066666E-2</v>
      </c>
      <c r="U40" s="1134">
        <f t="shared" si="14"/>
        <v>-5.5881116389839246E-3</v>
      </c>
      <c r="V40" s="1134">
        <f t="shared" si="14"/>
        <v>-2.1023106923027772E-4</v>
      </c>
      <c r="W40" s="1134">
        <f t="shared" si="14"/>
        <v>-1.7382423708445505E-2</v>
      </c>
      <c r="X40" s="1134">
        <f t="shared" si="14"/>
        <v>1.3715329452563887E-3</v>
      </c>
      <c r="Z40" s="735">
        <f t="shared" si="6"/>
        <v>1.0441986327464905</v>
      </c>
      <c r="AA40" s="1012"/>
      <c r="AB40" s="463">
        <f>IF('TAR_Tab 2_Volumina'!R43="storage",1,0)</f>
        <v>0</v>
      </c>
      <c r="AC40" s="736">
        <f t="shared" si="7"/>
        <v>1.0441986327464905</v>
      </c>
      <c r="AD40" s="736">
        <f t="shared" si="8"/>
        <v>1.11446393551536</v>
      </c>
      <c r="AE40" s="1020"/>
      <c r="AF40" s="1019">
        <f t="shared" si="9"/>
        <v>1.11446393551536</v>
      </c>
      <c r="AG40" s="737">
        <f t="shared" si="10"/>
        <v>1.1140000000000001</v>
      </c>
      <c r="AH40" s="738">
        <f>AG40+'TAR_Tab 14_Overige tarieven'!$AA$14+'TAR_Tab 14_Overige tarieven'!$AA$15</f>
        <v>1.294</v>
      </c>
      <c r="AI40" s="1315"/>
      <c r="AJ40" s="22"/>
    </row>
    <row r="41" spans="1:36">
      <c r="A41" s="644">
        <v>301096</v>
      </c>
      <c r="B41" s="1286" t="s">
        <v>439</v>
      </c>
      <c r="C41" s="1022"/>
      <c r="D41" s="1392"/>
      <c r="E41" s="740"/>
      <c r="F41" s="1017">
        <v>0.9995770795093224</v>
      </c>
      <c r="G41" s="739">
        <f t="shared" si="15"/>
        <v>0.95119754886107122</v>
      </c>
      <c r="H41" s="739">
        <f t="shared" si="16"/>
        <v>0.9734279920246951</v>
      </c>
      <c r="I41" s="740"/>
      <c r="J41" s="741">
        <f t="shared" si="17"/>
        <v>0.92475659242346031</v>
      </c>
      <c r="K41" s="741">
        <f t="shared" si="18"/>
        <v>1.02209939162593</v>
      </c>
      <c r="L41" s="1314">
        <v>0.98095387444129811</v>
      </c>
      <c r="M41" s="66" t="b">
        <f t="shared" si="5"/>
        <v>1</v>
      </c>
      <c r="N41" s="734">
        <f t="shared" si="19"/>
        <v>0.98095387444129811</v>
      </c>
      <c r="P41" s="1134">
        <f t="shared" si="14"/>
        <v>-4.5494540338019307E-2</v>
      </c>
      <c r="Q41" s="1134">
        <f t="shared" si="14"/>
        <v>4.7074726576851349E-2</v>
      </c>
      <c r="R41" s="1134">
        <f t="shared" si="14"/>
        <v>0</v>
      </c>
      <c r="S41" s="1134">
        <f t="shared" si="14"/>
        <v>1.7734227314275786E-3</v>
      </c>
      <c r="T41" s="1134">
        <f t="shared" si="14"/>
        <v>4.1072133821624925E-2</v>
      </c>
      <c r="U41" s="1134">
        <f t="shared" si="14"/>
        <v>-5.3751346073711076E-3</v>
      </c>
      <c r="V41" s="1134">
        <f t="shared" si="14"/>
        <v>-2.0221863283493137E-4</v>
      </c>
      <c r="W41" s="1134">
        <f t="shared" si="14"/>
        <v>-1.6719935690519269E-2</v>
      </c>
      <c r="X41" s="1134">
        <f t="shared" si="14"/>
        <v>1.3192603647656732E-3</v>
      </c>
      <c r="Z41" s="735">
        <f t="shared" si="6"/>
        <v>1.0044015886672231</v>
      </c>
      <c r="AA41" s="1012"/>
      <c r="AB41" s="463">
        <f>IF('TAR_Tab 2_Volumina'!R44="storage",1,0)</f>
        <v>0</v>
      </c>
      <c r="AC41" s="736">
        <f t="shared" si="7"/>
        <v>1.0044015886672231</v>
      </c>
      <c r="AD41" s="736">
        <f t="shared" si="8"/>
        <v>1.0719889034902734</v>
      </c>
      <c r="AE41" s="1020"/>
      <c r="AF41" s="1019">
        <f t="shared" si="9"/>
        <v>1.0719889034902734</v>
      </c>
      <c r="AG41" s="737">
        <f t="shared" si="10"/>
        <v>1.0720000000000001</v>
      </c>
      <c r="AH41" s="738">
        <f>AG41+'TAR_Tab 14_Overige tarieven'!$AA$14+'TAR_Tab 14_Overige tarieven'!$AA$15</f>
        <v>1.252</v>
      </c>
      <c r="AI41" s="1315"/>
      <c r="AJ41" s="22"/>
    </row>
    <row r="42" spans="1:36">
      <c r="A42" s="644">
        <v>301097</v>
      </c>
      <c r="B42" s="1286" t="s">
        <v>440</v>
      </c>
      <c r="C42" s="1022"/>
      <c r="D42" s="1392"/>
      <c r="E42" s="740"/>
      <c r="F42" s="1017">
        <v>1.0269239996091064</v>
      </c>
      <c r="G42" s="739">
        <f t="shared" si="15"/>
        <v>0.97722087802802571</v>
      </c>
      <c r="H42" s="739">
        <f t="shared" si="16"/>
        <v>1.0000595125612204</v>
      </c>
      <c r="I42" s="740"/>
      <c r="J42" s="741">
        <f t="shared" si="17"/>
        <v>0.95005653693315928</v>
      </c>
      <c r="K42" s="741">
        <f t="shared" si="18"/>
        <v>1.0500624881892815</v>
      </c>
      <c r="L42" s="1314">
        <v>1.0077912917609191</v>
      </c>
      <c r="M42" s="66" t="b">
        <f t="shared" si="5"/>
        <v>1</v>
      </c>
      <c r="N42" s="734">
        <f t="shared" si="19"/>
        <v>1.0077912917609191</v>
      </c>
      <c r="P42" s="1134">
        <f t="shared" si="14"/>
        <v>-4.6739202290663251E-2</v>
      </c>
      <c r="Q42" s="1134">
        <f t="shared" si="14"/>
        <v>4.8362620039802968E-2</v>
      </c>
      <c r="R42" s="1134">
        <f t="shared" si="14"/>
        <v>0</v>
      </c>
      <c r="S42" s="1134">
        <f t="shared" si="14"/>
        <v>1.8219409004949379E-3</v>
      </c>
      <c r="T42" s="1134">
        <f t="shared" si="14"/>
        <v>4.219580540731091E-2</v>
      </c>
      <c r="U42" s="1134">
        <f t="shared" si="14"/>
        <v>-5.5221901768180556E-3</v>
      </c>
      <c r="V42" s="1134">
        <f t="shared" si="14"/>
        <v>-2.07751029393623E-4</v>
      </c>
      <c r="W42" s="1134">
        <f t="shared" si="14"/>
        <v>-1.7177367893373107E-2</v>
      </c>
      <c r="X42" s="1134">
        <f t="shared" si="14"/>
        <v>1.3553533370092631E-3</v>
      </c>
      <c r="Z42" s="735">
        <f t="shared" si="6"/>
        <v>1.0318805000552891</v>
      </c>
      <c r="AA42" s="1012"/>
      <c r="AB42" s="463">
        <f>IF('TAR_Tab 2_Volumina'!R45="storage",1,0)</f>
        <v>0</v>
      </c>
      <c r="AC42" s="736">
        <f t="shared" si="7"/>
        <v>1.0318805000552891</v>
      </c>
      <c r="AD42" s="736">
        <f t="shared" si="8"/>
        <v>1.1013169017933098</v>
      </c>
      <c r="AE42" s="1020"/>
      <c r="AF42" s="1019">
        <f t="shared" si="9"/>
        <v>1.1013169017933098</v>
      </c>
      <c r="AG42" s="737">
        <f t="shared" si="10"/>
        <v>1.101</v>
      </c>
      <c r="AH42" s="738">
        <f>AG42+'TAR_Tab 14_Overige tarieven'!$AA$14+'TAR_Tab 14_Overige tarieven'!$AA$15</f>
        <v>1.2809999999999999</v>
      </c>
      <c r="AI42" s="1315"/>
      <c r="AJ42" s="22"/>
    </row>
    <row r="43" spans="1:36">
      <c r="A43" s="644">
        <v>301098</v>
      </c>
      <c r="B43" s="1286" t="s">
        <v>441</v>
      </c>
      <c r="C43" s="1022"/>
      <c r="D43" s="1392"/>
      <c r="E43" s="740"/>
      <c r="F43" s="1017">
        <v>0.9995770795093224</v>
      </c>
      <c r="G43" s="739">
        <f t="shared" si="15"/>
        <v>0.95119754886107122</v>
      </c>
      <c r="H43" s="739">
        <f t="shared" si="16"/>
        <v>0.9734279920246951</v>
      </c>
      <c r="I43" s="740"/>
      <c r="J43" s="741">
        <f t="shared" si="17"/>
        <v>0.92475659242346031</v>
      </c>
      <c r="K43" s="741">
        <f t="shared" si="18"/>
        <v>1.02209939162593</v>
      </c>
      <c r="L43" s="1314">
        <v>0.98095387444129811</v>
      </c>
      <c r="M43" s="66" t="b">
        <f t="shared" si="5"/>
        <v>1</v>
      </c>
      <c r="N43" s="734">
        <f t="shared" si="19"/>
        <v>0.98095387444129811</v>
      </c>
      <c r="P43" s="1134">
        <f t="shared" si="14"/>
        <v>-4.5494540338019307E-2</v>
      </c>
      <c r="Q43" s="1134">
        <f t="shared" si="14"/>
        <v>4.7074726576851349E-2</v>
      </c>
      <c r="R43" s="1134">
        <f t="shared" si="14"/>
        <v>0</v>
      </c>
      <c r="S43" s="1134">
        <f t="shared" si="14"/>
        <v>1.7734227314275786E-3</v>
      </c>
      <c r="T43" s="1134">
        <f t="shared" si="14"/>
        <v>4.1072133821624925E-2</v>
      </c>
      <c r="U43" s="1134">
        <f t="shared" si="14"/>
        <v>-5.3751346073711076E-3</v>
      </c>
      <c r="V43" s="1134">
        <f t="shared" si="14"/>
        <v>-2.0221863283493137E-4</v>
      </c>
      <c r="W43" s="1134">
        <f t="shared" si="14"/>
        <v>-1.6719935690519269E-2</v>
      </c>
      <c r="X43" s="1134">
        <f t="shared" si="14"/>
        <v>1.3192603647656732E-3</v>
      </c>
      <c r="Z43" s="735">
        <f t="shared" si="6"/>
        <v>1.0044015886672231</v>
      </c>
      <c r="AA43" s="1012"/>
      <c r="AB43" s="463">
        <f>IF('TAR_Tab 2_Volumina'!R46="storage",1,0)</f>
        <v>0</v>
      </c>
      <c r="AC43" s="736">
        <f t="shared" si="7"/>
        <v>1.0044015886672231</v>
      </c>
      <c r="AD43" s="736">
        <f t="shared" si="8"/>
        <v>1.0719889034902734</v>
      </c>
      <c r="AE43" s="1020"/>
      <c r="AF43" s="1019">
        <f t="shared" si="9"/>
        <v>1.0719889034902734</v>
      </c>
      <c r="AG43" s="737">
        <f t="shared" si="10"/>
        <v>1.0720000000000001</v>
      </c>
      <c r="AH43" s="738">
        <f>AG43+'TAR_Tab 14_Overige tarieven'!$AA$14+'TAR_Tab 14_Overige tarieven'!$AA$15</f>
        <v>1.252</v>
      </c>
      <c r="AI43" s="1315"/>
      <c r="AJ43" s="22"/>
    </row>
    <row r="44" spans="1:36">
      <c r="A44" s="644">
        <v>301101</v>
      </c>
      <c r="B44" s="1286" t="s">
        <v>442</v>
      </c>
      <c r="C44" s="1022"/>
      <c r="D44" s="1392"/>
      <c r="E44" s="740"/>
      <c r="F44" s="1017">
        <v>1.789808770668579</v>
      </c>
      <c r="G44" s="739">
        <f t="shared" si="15"/>
        <v>1.7031820261682198</v>
      </c>
      <c r="H44" s="739">
        <f t="shared" si="16"/>
        <v>1.7429871027008219</v>
      </c>
      <c r="I44" s="740"/>
      <c r="J44" s="741">
        <f t="shared" si="17"/>
        <v>1.6558377475657808</v>
      </c>
      <c r="K44" s="741">
        <f t="shared" si="18"/>
        <v>1.830136457835863</v>
      </c>
      <c r="L44" s="1314">
        <v>1.7564626921599846</v>
      </c>
      <c r="M44" s="66" t="b">
        <f t="shared" si="5"/>
        <v>1</v>
      </c>
      <c r="N44" s="734">
        <f t="shared" si="19"/>
        <v>1.7564626921599846</v>
      </c>
      <c r="P44" s="1134">
        <f t="shared" si="14"/>
        <v>-8.146097883166098E-2</v>
      </c>
      <c r="Q44" s="1134">
        <f t="shared" si="14"/>
        <v>8.4290406644211183E-2</v>
      </c>
      <c r="R44" s="1134">
        <f t="shared" si="14"/>
        <v>0</v>
      </c>
      <c r="S44" s="1134">
        <f t="shared" si="14"/>
        <v>3.175430513442966E-3</v>
      </c>
      <c r="T44" s="1134">
        <f t="shared" si="14"/>
        <v>7.3542367918343496E-2</v>
      </c>
      <c r="U44" s="1134">
        <f t="shared" si="14"/>
        <v>-9.6245334762173219E-3</v>
      </c>
      <c r="V44" s="1134">
        <f t="shared" si="14"/>
        <v>-3.6208581615160349E-4</v>
      </c>
      <c r="W44" s="1134">
        <f t="shared" si="14"/>
        <v>-2.993814900057129E-2</v>
      </c>
      <c r="X44" s="1134">
        <f t="shared" si="14"/>
        <v>2.3622228040804222E-3</v>
      </c>
      <c r="Z44" s="735">
        <f t="shared" si="6"/>
        <v>1.7984473729154615</v>
      </c>
      <c r="AA44" s="1012"/>
      <c r="AB44" s="463">
        <f>IF('TAR_Tab 2_Volumina'!R47="storage",1,0)</f>
        <v>0</v>
      </c>
      <c r="AC44" s="736">
        <f t="shared" si="7"/>
        <v>1.7984473729154615</v>
      </c>
      <c r="AD44" s="736">
        <f t="shared" si="8"/>
        <v>1.9194669234193764</v>
      </c>
      <c r="AE44" s="1020"/>
      <c r="AF44" s="1019">
        <f t="shared" si="9"/>
        <v>1.9194669234193764</v>
      </c>
      <c r="AG44" s="737">
        <f t="shared" si="10"/>
        <v>1.919</v>
      </c>
      <c r="AH44" s="738">
        <f>AG44+'TAR_Tab 14_Overige tarieven'!$AA$14+'TAR_Tab 14_Overige tarieven'!$AA$15</f>
        <v>2.0990000000000002</v>
      </c>
      <c r="AI44" s="1315"/>
      <c r="AJ44" s="22"/>
    </row>
    <row r="45" spans="1:36">
      <c r="A45" s="644">
        <v>301106</v>
      </c>
      <c r="B45" s="1286" t="s">
        <v>443</v>
      </c>
      <c r="C45" s="1022"/>
      <c r="D45" s="1392"/>
      <c r="E45" s="740"/>
      <c r="F45" s="1017">
        <v>1.0731957267955403</v>
      </c>
      <c r="G45" s="739">
        <f t="shared" si="15"/>
        <v>1.0212530536186362</v>
      </c>
      <c r="H45" s="739">
        <f t="shared" si="16"/>
        <v>1.0451207643705511</v>
      </c>
      <c r="I45" s="740"/>
      <c r="J45" s="741">
        <f t="shared" si="17"/>
        <v>0.99286472615202348</v>
      </c>
      <c r="K45" s="741">
        <f t="shared" si="18"/>
        <v>1.0973768025890787</v>
      </c>
      <c r="L45" s="1314">
        <v>0.99286472615202348</v>
      </c>
      <c r="M45" s="66" t="b">
        <f t="shared" si="5"/>
        <v>1</v>
      </c>
      <c r="N45" s="734">
        <f t="shared" si="19"/>
        <v>0.99286472615202348</v>
      </c>
      <c r="P45" s="1134">
        <f t="shared" si="14"/>
        <v>-4.6046940137573988E-2</v>
      </c>
      <c r="Q45" s="1134">
        <f t="shared" si="14"/>
        <v>4.7646313174538386E-2</v>
      </c>
      <c r="R45" s="1134">
        <f t="shared" si="14"/>
        <v>0</v>
      </c>
      <c r="S45" s="1134">
        <f t="shared" si="14"/>
        <v>1.7949558286759013E-3</v>
      </c>
      <c r="T45" s="1134">
        <f t="shared" si="14"/>
        <v>4.1570836266396925E-2</v>
      </c>
      <c r="U45" s="1134">
        <f t="shared" si="14"/>
        <v>-5.4404000932432636E-3</v>
      </c>
      <c r="V45" s="1134">
        <f t="shared" si="14"/>
        <v>-2.0467399410277313E-4</v>
      </c>
      <c r="W45" s="1134">
        <f t="shared" si="14"/>
        <v>-1.6922951020609141E-2</v>
      </c>
      <c r="X45" s="1134">
        <f t="shared" si="14"/>
        <v>1.3352789717379033E-3</v>
      </c>
      <c r="Z45" s="735">
        <f t="shared" si="6"/>
        <v>1.0165971451478435</v>
      </c>
      <c r="AA45" s="1012"/>
      <c r="AB45" s="463">
        <f>IF('TAR_Tab 2_Volumina'!R48="storage",1,0)</f>
        <v>0</v>
      </c>
      <c r="AC45" s="736">
        <f t="shared" si="7"/>
        <v>1.0165971451478435</v>
      </c>
      <c r="AD45" s="736">
        <f t="shared" si="8"/>
        <v>1.0850051127103941</v>
      </c>
      <c r="AE45" s="1020"/>
      <c r="AF45" s="1019">
        <f t="shared" si="9"/>
        <v>1.0850051127103941</v>
      </c>
      <c r="AG45" s="737">
        <f t="shared" si="10"/>
        <v>1.085</v>
      </c>
      <c r="AH45" s="738">
        <f>AG45+'TAR_Tab 14_Overige tarieven'!$AA$14+'TAR_Tab 14_Overige tarieven'!$AA$15</f>
        <v>1.2649999999999999</v>
      </c>
      <c r="AI45" s="1315"/>
      <c r="AJ45" s="22"/>
    </row>
    <row r="46" spans="1:36">
      <c r="A46" s="644">
        <v>301107</v>
      </c>
      <c r="B46" s="1286" t="s">
        <v>44</v>
      </c>
      <c r="C46" s="1022"/>
      <c r="D46" s="1392"/>
      <c r="E46" s="740"/>
      <c r="F46" s="1017">
        <v>0.9995770795093224</v>
      </c>
      <c r="G46" s="739">
        <f t="shared" si="15"/>
        <v>0.95119754886107122</v>
      </c>
      <c r="H46" s="739">
        <f t="shared" si="16"/>
        <v>0.9734279920246951</v>
      </c>
      <c r="I46" s="740"/>
      <c r="J46" s="741">
        <f t="shared" si="17"/>
        <v>0.92475659242346031</v>
      </c>
      <c r="K46" s="741">
        <f t="shared" si="18"/>
        <v>1.02209939162593</v>
      </c>
      <c r="L46" s="1314">
        <v>0.98095387444129811</v>
      </c>
      <c r="M46" s="66" t="b">
        <f t="shared" si="5"/>
        <v>1</v>
      </c>
      <c r="N46" s="734">
        <f t="shared" si="19"/>
        <v>0.98095387444129811</v>
      </c>
      <c r="P46" s="1134">
        <f t="shared" si="14"/>
        <v>-4.5494540338019307E-2</v>
      </c>
      <c r="Q46" s="1134">
        <f t="shared" si="14"/>
        <v>4.7074726576851349E-2</v>
      </c>
      <c r="R46" s="1134">
        <f t="shared" si="14"/>
        <v>0</v>
      </c>
      <c r="S46" s="1134">
        <f t="shared" si="14"/>
        <v>1.7734227314275786E-3</v>
      </c>
      <c r="T46" s="1134">
        <f t="shared" si="14"/>
        <v>4.1072133821624925E-2</v>
      </c>
      <c r="U46" s="1134">
        <f t="shared" si="14"/>
        <v>-5.3751346073711076E-3</v>
      </c>
      <c r="V46" s="1134">
        <f t="shared" si="14"/>
        <v>-2.0221863283493137E-4</v>
      </c>
      <c r="W46" s="1134">
        <f t="shared" si="14"/>
        <v>-1.6719935690519269E-2</v>
      </c>
      <c r="X46" s="1134">
        <f t="shared" si="14"/>
        <v>1.3192603647656732E-3</v>
      </c>
      <c r="Z46" s="735">
        <f t="shared" si="6"/>
        <v>1.0044015886672231</v>
      </c>
      <c r="AA46" s="1012"/>
      <c r="AB46" s="463">
        <f>IF('TAR_Tab 2_Volumina'!R49="storage",1,0)</f>
        <v>0</v>
      </c>
      <c r="AC46" s="736">
        <f t="shared" si="7"/>
        <v>1.0044015886672231</v>
      </c>
      <c r="AD46" s="736">
        <f t="shared" si="8"/>
        <v>1.0719889034902734</v>
      </c>
      <c r="AE46" s="1020"/>
      <c r="AF46" s="1019">
        <f t="shared" si="9"/>
        <v>1.0719889034902734</v>
      </c>
      <c r="AG46" s="737">
        <f t="shared" si="10"/>
        <v>1.0720000000000001</v>
      </c>
      <c r="AH46" s="738">
        <f>AG46+'TAR_Tab 14_Overige tarieven'!$AA$14+'TAR_Tab 14_Overige tarieven'!$AA$15</f>
        <v>1.252</v>
      </c>
      <c r="AI46" s="1315"/>
      <c r="AJ46" s="22"/>
    </row>
    <row r="47" spans="1:36">
      <c r="A47" s="644">
        <v>301108</v>
      </c>
      <c r="B47" s="1286" t="s">
        <v>845</v>
      </c>
      <c r="C47" s="1022"/>
      <c r="D47" s="1392"/>
      <c r="E47" s="740"/>
      <c r="F47" s="1017">
        <v>1.0052350629782434</v>
      </c>
      <c r="G47" s="739">
        <f t="shared" si="15"/>
        <v>0.9565816859300964</v>
      </c>
      <c r="H47" s="739">
        <f t="shared" si="16"/>
        <v>0.97893796179087289</v>
      </c>
      <c r="I47" s="740"/>
      <c r="J47" s="741">
        <f t="shared" si="17"/>
        <v>0.92999106370132922</v>
      </c>
      <c r="K47" s="741">
        <f t="shared" si="18"/>
        <v>1.0278848598804167</v>
      </c>
      <c r="L47" s="1314">
        <v>0.98650644354190953</v>
      </c>
      <c r="M47" s="66" t="b">
        <f t="shared" si="5"/>
        <v>1</v>
      </c>
      <c r="N47" s="734">
        <f t="shared" si="19"/>
        <v>0.98650644354190953</v>
      </c>
      <c r="P47" s="1134">
        <f t="shared" ref="P47:X56" si="20">$N47*P$5</f>
        <v>-4.5752056604083581E-2</v>
      </c>
      <c r="Q47" s="1134">
        <f t="shared" si="20"/>
        <v>4.7341187293324101E-2</v>
      </c>
      <c r="R47" s="1134">
        <f t="shared" si="20"/>
        <v>0</v>
      </c>
      <c r="S47" s="1134">
        <f t="shared" si="20"/>
        <v>1.7834609733035844E-3</v>
      </c>
      <c r="T47" s="1134">
        <f t="shared" si="20"/>
        <v>4.1304617597973756E-2</v>
      </c>
      <c r="U47" s="1134">
        <f t="shared" si="20"/>
        <v>-5.4055598976015112E-3</v>
      </c>
      <c r="V47" s="1134">
        <f t="shared" si="20"/>
        <v>-2.0336326660569517E-4</v>
      </c>
      <c r="W47" s="1134">
        <f t="shared" si="20"/>
        <v>-1.6814576835937307E-2</v>
      </c>
      <c r="X47" s="1134">
        <f t="shared" si="20"/>
        <v>1.3267278762643473E-3</v>
      </c>
      <c r="Z47" s="735">
        <f t="shared" si="6"/>
        <v>1.0100868806785472</v>
      </c>
      <c r="AA47" s="1012"/>
      <c r="AB47" s="463">
        <f>IF('TAR_Tab 2_Volumina'!R50="storage",1,0)</f>
        <v>0</v>
      </c>
      <c r="AC47" s="736">
        <f t="shared" si="7"/>
        <v>1.0100868806785472</v>
      </c>
      <c r="AD47" s="736">
        <f t="shared" si="8"/>
        <v>1.0780567652081432</v>
      </c>
      <c r="AE47" s="1020"/>
      <c r="AF47" s="1019">
        <f t="shared" si="9"/>
        <v>1.0780567652081432</v>
      </c>
      <c r="AG47" s="737">
        <f t="shared" si="10"/>
        <v>1.0780000000000001</v>
      </c>
      <c r="AH47" s="738">
        <f>AG47+'TAR_Tab 14_Overige tarieven'!$AA$14+'TAR_Tab 14_Overige tarieven'!$AA$15</f>
        <v>1.258</v>
      </c>
      <c r="AI47" s="1315"/>
      <c r="AJ47" s="22"/>
    </row>
    <row r="48" spans="1:36">
      <c r="A48" s="644">
        <v>301109</v>
      </c>
      <c r="B48" s="1286" t="s">
        <v>444</v>
      </c>
      <c r="C48" s="1022"/>
      <c r="D48" s="1392"/>
      <c r="E48" s="740"/>
      <c r="F48" s="1017">
        <v>0.9995770795093224</v>
      </c>
      <c r="G48" s="739">
        <f t="shared" si="15"/>
        <v>0.95119754886107122</v>
      </c>
      <c r="H48" s="739">
        <f t="shared" si="16"/>
        <v>0.9734279920246951</v>
      </c>
      <c r="I48" s="740"/>
      <c r="J48" s="741">
        <f t="shared" si="17"/>
        <v>0.92475659242346031</v>
      </c>
      <c r="K48" s="741">
        <f t="shared" si="18"/>
        <v>1.02209939162593</v>
      </c>
      <c r="L48" s="1314">
        <v>0.98095387444129811</v>
      </c>
      <c r="M48" s="66" t="b">
        <f t="shared" si="5"/>
        <v>1</v>
      </c>
      <c r="N48" s="734">
        <f t="shared" si="19"/>
        <v>0.98095387444129811</v>
      </c>
      <c r="P48" s="1134">
        <f t="shared" si="20"/>
        <v>-4.5494540338019307E-2</v>
      </c>
      <c r="Q48" s="1134">
        <f t="shared" si="20"/>
        <v>4.7074726576851349E-2</v>
      </c>
      <c r="R48" s="1134">
        <f t="shared" si="20"/>
        <v>0</v>
      </c>
      <c r="S48" s="1134">
        <f t="shared" si="20"/>
        <v>1.7734227314275786E-3</v>
      </c>
      <c r="T48" s="1134">
        <f t="shared" si="20"/>
        <v>4.1072133821624925E-2</v>
      </c>
      <c r="U48" s="1134">
        <f t="shared" si="20"/>
        <v>-5.3751346073711076E-3</v>
      </c>
      <c r="V48" s="1134">
        <f t="shared" si="20"/>
        <v>-2.0221863283493137E-4</v>
      </c>
      <c r="W48" s="1134">
        <f t="shared" si="20"/>
        <v>-1.6719935690519269E-2</v>
      </c>
      <c r="X48" s="1134">
        <f t="shared" si="20"/>
        <v>1.3192603647656732E-3</v>
      </c>
      <c r="Z48" s="735">
        <f t="shared" si="6"/>
        <v>1.0044015886672231</v>
      </c>
      <c r="AA48" s="1012"/>
      <c r="AB48" s="463">
        <f>IF('TAR_Tab 2_Volumina'!R51="storage",1,0)</f>
        <v>0</v>
      </c>
      <c r="AC48" s="736">
        <f t="shared" si="7"/>
        <v>1.0044015886672231</v>
      </c>
      <c r="AD48" s="736">
        <f t="shared" si="8"/>
        <v>1.0719889034902734</v>
      </c>
      <c r="AE48" s="1020"/>
      <c r="AF48" s="1019">
        <f t="shared" si="9"/>
        <v>1.0719889034902734</v>
      </c>
      <c r="AG48" s="737">
        <f t="shared" si="10"/>
        <v>1.0720000000000001</v>
      </c>
      <c r="AH48" s="738">
        <f>AG48+'TAR_Tab 14_Overige tarieven'!$AA$14+'TAR_Tab 14_Overige tarieven'!$AA$15</f>
        <v>1.252</v>
      </c>
      <c r="AI48" s="1315"/>
      <c r="AJ48" s="22"/>
    </row>
    <row r="49" spans="1:36">
      <c r="A49" s="644">
        <v>301111</v>
      </c>
      <c r="B49" s="1286" t="s">
        <v>45</v>
      </c>
      <c r="C49" s="1022"/>
      <c r="D49" s="1392"/>
      <c r="E49" s="740"/>
      <c r="F49" s="1017">
        <v>1.7373621388501395</v>
      </c>
      <c r="G49" s="739">
        <f t="shared" si="15"/>
        <v>1.6532738113297927</v>
      </c>
      <c r="H49" s="739">
        <f t="shared" si="16"/>
        <v>1.691912482697987</v>
      </c>
      <c r="I49" s="740"/>
      <c r="J49" s="741">
        <f t="shared" si="17"/>
        <v>1.6073168585630875</v>
      </c>
      <c r="K49" s="741">
        <f t="shared" si="18"/>
        <v>1.7765081068328865</v>
      </c>
      <c r="L49" s="1314">
        <v>1.7049931979725534</v>
      </c>
      <c r="M49" s="66" t="b">
        <f t="shared" si="5"/>
        <v>1</v>
      </c>
      <c r="N49" s="734">
        <f t="shared" si="19"/>
        <v>1.7049931979725534</v>
      </c>
      <c r="P49" s="1134">
        <f t="shared" si="20"/>
        <v>-7.9073933894587681E-2</v>
      </c>
      <c r="Q49" s="1134">
        <f t="shared" si="20"/>
        <v>8.1820451196711538E-2</v>
      </c>
      <c r="R49" s="1134">
        <f t="shared" si="20"/>
        <v>0</v>
      </c>
      <c r="S49" s="1134">
        <f t="shared" si="20"/>
        <v>3.0823811118907709E-3</v>
      </c>
      <c r="T49" s="1134">
        <f t="shared" si="20"/>
        <v>7.1387361441406408E-2</v>
      </c>
      <c r="U49" s="1134">
        <f t="shared" si="20"/>
        <v>-9.3425064955009081E-3</v>
      </c>
      <c r="V49" s="1134">
        <f t="shared" si="20"/>
        <v>-3.5147564270872301E-4</v>
      </c>
      <c r="W49" s="1134">
        <f t="shared" si="20"/>
        <v>-2.9060873671670082E-2</v>
      </c>
      <c r="X49" s="1134">
        <f t="shared" si="20"/>
        <v>2.2930027668848015E-3</v>
      </c>
      <c r="Z49" s="735">
        <f t="shared" si="6"/>
        <v>1.7457476047849796</v>
      </c>
      <c r="AA49" s="1012"/>
      <c r="AB49" s="463">
        <f>IF('TAR_Tab 2_Volumina'!R52="storage",1,0)</f>
        <v>0</v>
      </c>
      <c r="AC49" s="736">
        <f t="shared" si="7"/>
        <v>1.7457476047849796</v>
      </c>
      <c r="AD49" s="736">
        <f t="shared" si="8"/>
        <v>1.8632209285007997</v>
      </c>
      <c r="AE49" s="1020"/>
      <c r="AF49" s="1019">
        <f t="shared" si="9"/>
        <v>1.8632209285007997</v>
      </c>
      <c r="AG49" s="737">
        <f t="shared" si="10"/>
        <v>1.863</v>
      </c>
      <c r="AH49" s="738">
        <f>AG49+'TAR_Tab 14_Overige tarieven'!$AA$14+'TAR_Tab 14_Overige tarieven'!$AA$15</f>
        <v>2.0430000000000001</v>
      </c>
      <c r="AI49" s="1315"/>
      <c r="AJ49" s="22"/>
    </row>
    <row r="50" spans="1:36">
      <c r="A50" s="644">
        <v>301113</v>
      </c>
      <c r="B50" s="1286" t="s">
        <v>445</v>
      </c>
      <c r="C50" s="1022"/>
      <c r="D50" s="1392"/>
      <c r="E50" s="740"/>
      <c r="F50" s="1017">
        <v>0.86331627658134513</v>
      </c>
      <c r="G50" s="739">
        <f t="shared" si="15"/>
        <v>0.82153176879480805</v>
      </c>
      <c r="H50" s="739">
        <f t="shared" si="16"/>
        <v>0.84073179229694162</v>
      </c>
      <c r="I50" s="740"/>
      <c r="J50" s="741">
        <f t="shared" si="17"/>
        <v>0.79869520268209448</v>
      </c>
      <c r="K50" s="741">
        <f t="shared" si="18"/>
        <v>0.88276838191178875</v>
      </c>
      <c r="L50" s="1314">
        <v>0.79869520268209448</v>
      </c>
      <c r="M50" s="66" t="b">
        <f t="shared" si="5"/>
        <v>1</v>
      </c>
      <c r="N50" s="734">
        <f t="shared" si="19"/>
        <v>0.79869520268209448</v>
      </c>
      <c r="P50" s="1134">
        <f t="shared" si="20"/>
        <v>-3.7041773382972119E-2</v>
      </c>
      <c r="Q50" s="1134">
        <f t="shared" si="20"/>
        <v>3.8328365139407392E-2</v>
      </c>
      <c r="R50" s="1134">
        <f t="shared" si="20"/>
        <v>0</v>
      </c>
      <c r="S50" s="1134">
        <f t="shared" si="20"/>
        <v>1.4439254126248366E-3</v>
      </c>
      <c r="T50" s="1134">
        <f t="shared" si="20"/>
        <v>3.3441038464660122E-2</v>
      </c>
      <c r="U50" s="1134">
        <f t="shared" si="20"/>
        <v>-4.3764486144906014E-3</v>
      </c>
      <c r="V50" s="1134">
        <f t="shared" si="20"/>
        <v>-1.6464693819592702E-4</v>
      </c>
      <c r="W50" s="1134">
        <f t="shared" si="20"/>
        <v>-1.36134152411363E-2</v>
      </c>
      <c r="X50" s="1134">
        <f t="shared" si="20"/>
        <v>1.0741452293331329E-3</v>
      </c>
      <c r="Z50" s="735">
        <f t="shared" si="6"/>
        <v>0.81778639275132503</v>
      </c>
      <c r="AA50" s="1012"/>
      <c r="AB50" s="463">
        <f>IF('TAR_Tab 2_Volumina'!R53="storage",1,0)</f>
        <v>0</v>
      </c>
      <c r="AC50" s="736">
        <f t="shared" si="7"/>
        <v>0.81778639275132503</v>
      </c>
      <c r="AD50" s="736">
        <f t="shared" si="8"/>
        <v>0.87281616073310708</v>
      </c>
      <c r="AE50" s="1020"/>
      <c r="AF50" s="1019">
        <f t="shared" si="9"/>
        <v>0.87281616073310708</v>
      </c>
      <c r="AG50" s="737">
        <f t="shared" si="10"/>
        <v>0.873</v>
      </c>
      <c r="AH50" s="738">
        <f>AG50+'TAR_Tab 14_Overige tarieven'!$AA$14+'TAR_Tab 14_Overige tarieven'!$AA$15</f>
        <v>1.0529999999999999</v>
      </c>
      <c r="AI50" s="1315"/>
      <c r="AJ50" s="22"/>
    </row>
    <row r="51" spans="1:36">
      <c r="A51" s="644">
        <v>301114</v>
      </c>
      <c r="B51" s="1286" t="s">
        <v>318</v>
      </c>
      <c r="C51" s="1022"/>
      <c r="D51" s="1392"/>
      <c r="E51" s="740"/>
      <c r="F51" s="1017">
        <v>1.1201627870003865</v>
      </c>
      <c r="G51" s="739">
        <f t="shared" si="15"/>
        <v>1.0659469081095678</v>
      </c>
      <c r="H51" s="739">
        <f t="shared" si="16"/>
        <v>1.0908591591814336</v>
      </c>
      <c r="I51" s="740"/>
      <c r="J51" s="741">
        <f t="shared" si="17"/>
        <v>1.0363162012223619</v>
      </c>
      <c r="K51" s="741">
        <f t="shared" si="18"/>
        <v>1.1454021171405053</v>
      </c>
      <c r="L51" s="1314">
        <v>1.0992929394223305</v>
      </c>
      <c r="M51" s="66" t="b">
        <f t="shared" si="5"/>
        <v>1</v>
      </c>
      <c r="N51" s="734">
        <f t="shared" si="19"/>
        <v>1.0992929394223305</v>
      </c>
      <c r="P51" s="1134">
        <f t="shared" si="20"/>
        <v>-5.098285279145591E-2</v>
      </c>
      <c r="Q51" s="1134">
        <f t="shared" si="20"/>
        <v>5.2753667526562339E-2</v>
      </c>
      <c r="R51" s="1134">
        <f t="shared" si="20"/>
        <v>0</v>
      </c>
      <c r="S51" s="1134">
        <f t="shared" si="20"/>
        <v>1.9873626457510498E-3</v>
      </c>
      <c r="T51" s="1134">
        <f t="shared" si="20"/>
        <v>4.6026941626421243E-2</v>
      </c>
      <c r="U51" s="1134">
        <f t="shared" si="20"/>
        <v>-6.0235732548516215E-3</v>
      </c>
      <c r="V51" s="1134">
        <f t="shared" si="20"/>
        <v>-2.2661362688606145E-4</v>
      </c>
      <c r="W51" s="1134">
        <f t="shared" si="20"/>
        <v>-1.8736974011802177E-2</v>
      </c>
      <c r="X51" s="1134">
        <f t="shared" si="20"/>
        <v>1.4784116175417771E-3</v>
      </c>
      <c r="Z51" s="735">
        <f t="shared" si="6"/>
        <v>1.1255693091536112</v>
      </c>
      <c r="AA51" s="1012"/>
      <c r="AB51" s="463">
        <f>IF('TAR_Tab 2_Volumina'!R54="storage",1,0)</f>
        <v>1</v>
      </c>
      <c r="AC51" s="736">
        <f t="shared" si="7"/>
        <v>0.8441769818652084</v>
      </c>
      <c r="AD51" s="736">
        <f t="shared" si="8"/>
        <v>0.8441769818652084</v>
      </c>
      <c r="AE51" s="1020"/>
      <c r="AF51" s="1019">
        <f t="shared" si="9"/>
        <v>0.8441769818652084</v>
      </c>
      <c r="AG51" s="737">
        <f t="shared" si="10"/>
        <v>0.84399999999999997</v>
      </c>
      <c r="AH51" s="738">
        <f>AG51+'TAR_Tab 14_Overige tarieven'!$AA$14+'TAR_Tab 14_Overige tarieven'!$AA$15</f>
        <v>1.024</v>
      </c>
      <c r="AI51" s="1315"/>
      <c r="AJ51" s="22"/>
    </row>
    <row r="52" spans="1:36">
      <c r="A52" s="644">
        <v>301116</v>
      </c>
      <c r="B52" s="1286" t="s">
        <v>319</v>
      </c>
      <c r="C52" s="1022"/>
      <c r="D52" s="1392"/>
      <c r="E52" s="740"/>
      <c r="F52" s="1017">
        <v>1.4047395223167678</v>
      </c>
      <c r="G52" s="739">
        <f t="shared" si="15"/>
        <v>1.3367501294366362</v>
      </c>
      <c r="H52" s="739">
        <f t="shared" si="16"/>
        <v>1.3679913240885668</v>
      </c>
      <c r="I52" s="740"/>
      <c r="J52" s="741">
        <f t="shared" si="17"/>
        <v>1.2995917578841385</v>
      </c>
      <c r="K52" s="741">
        <f t="shared" si="18"/>
        <v>1.4363908902929952</v>
      </c>
      <c r="L52" s="1314">
        <v>1.3785677015262134</v>
      </c>
      <c r="M52" s="66" t="b">
        <f t="shared" si="5"/>
        <v>1</v>
      </c>
      <c r="N52" s="734">
        <f t="shared" si="19"/>
        <v>1.3785677015262134</v>
      </c>
      <c r="P52" s="1134">
        <f t="shared" si="20"/>
        <v>-6.3935018291757587E-2</v>
      </c>
      <c r="Q52" s="1134">
        <f t="shared" si="20"/>
        <v>6.6155707529047925E-2</v>
      </c>
      <c r="R52" s="1134">
        <f t="shared" si="20"/>
        <v>0</v>
      </c>
      <c r="S52" s="1134">
        <f t="shared" si="20"/>
        <v>2.4922510246375056E-3</v>
      </c>
      <c r="T52" s="1134">
        <f t="shared" si="20"/>
        <v>5.7720060641488193E-2</v>
      </c>
      <c r="U52" s="1134">
        <f t="shared" si="20"/>
        <v>-7.5538587023757341E-3</v>
      </c>
      <c r="V52" s="1134">
        <f t="shared" si="20"/>
        <v>-2.8418469322199184E-4</v>
      </c>
      <c r="W52" s="1134">
        <f t="shared" si="20"/>
        <v>-2.3497091876693101E-2</v>
      </c>
      <c r="X52" s="1134">
        <f t="shared" si="20"/>
        <v>1.8540012697390916E-3</v>
      </c>
      <c r="Z52" s="735">
        <f t="shared" si="6"/>
        <v>1.4115195684270778</v>
      </c>
      <c r="AA52" s="1012"/>
      <c r="AB52" s="463">
        <f>IF('TAR_Tab 2_Volumina'!R55="storage",1,0)</f>
        <v>1</v>
      </c>
      <c r="AC52" s="736">
        <f t="shared" si="7"/>
        <v>1.0586396763203083</v>
      </c>
      <c r="AD52" s="736">
        <f>IF(AB52=0,AC52*(1+$AD$5),AC52)</f>
        <v>1.0586396763203083</v>
      </c>
      <c r="AE52" s="1020"/>
      <c r="AF52" s="1019">
        <f t="shared" si="9"/>
        <v>1.0586396763203083</v>
      </c>
      <c r="AG52" s="737">
        <f t="shared" si="10"/>
        <v>1.0589999999999999</v>
      </c>
      <c r="AH52" s="738">
        <f>AG52+'TAR_Tab 14_Overige tarieven'!$AA$14+'TAR_Tab 14_Overige tarieven'!$AA$15</f>
        <v>1.2389999999999999</v>
      </c>
      <c r="AI52" s="1315"/>
      <c r="AJ52" s="22"/>
    </row>
    <row r="53" spans="1:36">
      <c r="A53" s="644">
        <v>301118</v>
      </c>
      <c r="B53" s="1286" t="s">
        <v>231</v>
      </c>
      <c r="C53" s="1022"/>
      <c r="D53" s="1392"/>
      <c r="E53" s="740"/>
      <c r="F53" s="1017">
        <v>1.3168836174539924</v>
      </c>
      <c r="G53" s="739">
        <f t="shared" si="15"/>
        <v>1.2531464503692191</v>
      </c>
      <c r="H53" s="739">
        <f t="shared" si="16"/>
        <v>1.2824337429762975</v>
      </c>
      <c r="I53" s="740"/>
      <c r="J53" s="741">
        <f t="shared" si="17"/>
        <v>1.2183120558274827</v>
      </c>
      <c r="K53" s="741">
        <f t="shared" si="18"/>
        <v>1.3465554301251124</v>
      </c>
      <c r="L53" s="1314">
        <v>1.2923486474538739</v>
      </c>
      <c r="M53" s="66" t="b">
        <f t="shared" si="5"/>
        <v>1</v>
      </c>
      <c r="N53" s="734">
        <f t="shared" si="19"/>
        <v>1.2923486474538739</v>
      </c>
      <c r="P53" s="1134">
        <f t="shared" si="20"/>
        <v>-5.993636317085909E-2</v>
      </c>
      <c r="Q53" s="1134">
        <f t="shared" si="20"/>
        <v>6.2018164977944996E-2</v>
      </c>
      <c r="R53" s="1134">
        <f t="shared" si="20"/>
        <v>0</v>
      </c>
      <c r="S53" s="1134">
        <f t="shared" si="20"/>
        <v>2.3363794445786E-3</v>
      </c>
      <c r="T53" s="1134">
        <f t="shared" si="20"/>
        <v>5.4110104435494376E-2</v>
      </c>
      <c r="U53" s="1134">
        <f t="shared" si="20"/>
        <v>-7.0814215843481567E-3</v>
      </c>
      <c r="V53" s="1134">
        <f t="shared" si="20"/>
        <v>-2.6641107542700664E-4</v>
      </c>
      <c r="W53" s="1134">
        <f t="shared" si="20"/>
        <v>-2.2027525287532147E-2</v>
      </c>
      <c r="X53" s="1134">
        <f t="shared" si="20"/>
        <v>1.7380474173828739E-3</v>
      </c>
      <c r="Z53" s="735">
        <f t="shared" si="6"/>
        <v>1.3232396226111083</v>
      </c>
      <c r="AA53" s="1012"/>
      <c r="AB53" s="463">
        <f>IF('TAR_Tab 2_Volumina'!R56="storage",1,0)</f>
        <v>1</v>
      </c>
      <c r="AC53" s="736">
        <f t="shared" si="7"/>
        <v>0.99242971695833115</v>
      </c>
      <c r="AD53" s="736">
        <f t="shared" si="8"/>
        <v>0.99242971695833115</v>
      </c>
      <c r="AE53" s="1020"/>
      <c r="AF53" s="1019">
        <f t="shared" si="9"/>
        <v>0.99242971695833115</v>
      </c>
      <c r="AG53" s="737">
        <f t="shared" si="10"/>
        <v>0.99199999999999999</v>
      </c>
      <c r="AH53" s="738">
        <f>AG53+'TAR_Tab 14_Overige tarieven'!$AA$14+'TAR_Tab 14_Overige tarieven'!$AA$15</f>
        <v>1.1719999999999999</v>
      </c>
      <c r="AI53" s="1315"/>
      <c r="AJ53" s="22"/>
    </row>
    <row r="54" spans="1:36">
      <c r="A54" s="644">
        <v>301128</v>
      </c>
      <c r="B54" s="1286" t="s">
        <v>449</v>
      </c>
      <c r="C54" s="1022"/>
      <c r="D54" s="1392"/>
      <c r="E54" s="740"/>
      <c r="F54" s="1017">
        <v>0.44118943528915494</v>
      </c>
      <c r="G54" s="739">
        <f t="shared" si="15"/>
        <v>0.41983586662115985</v>
      </c>
      <c r="H54" s="739">
        <f t="shared" si="16"/>
        <v>0.42964785297683078</v>
      </c>
      <c r="I54" s="740"/>
      <c r="J54" s="741">
        <f t="shared" si="17"/>
        <v>0.40816546032798923</v>
      </c>
      <c r="K54" s="741">
        <f t="shared" si="18"/>
        <v>0.45113024562567233</v>
      </c>
      <c r="L54" s="1314">
        <v>0.43296959762414061</v>
      </c>
      <c r="M54" s="66" t="b">
        <f t="shared" si="5"/>
        <v>1</v>
      </c>
      <c r="N54" s="734">
        <f t="shared" si="19"/>
        <v>0.43296959762414061</v>
      </c>
      <c r="P54" s="1134">
        <f t="shared" si="20"/>
        <v>-2.0080202889729448E-2</v>
      </c>
      <c r="Q54" s="1134">
        <f t="shared" si="20"/>
        <v>2.0777659332712542E-2</v>
      </c>
      <c r="R54" s="1134">
        <f t="shared" si="20"/>
        <v>0</v>
      </c>
      <c r="S54" s="1134">
        <f t="shared" si="20"/>
        <v>7.827464129045058E-4</v>
      </c>
      <c r="T54" s="1134">
        <f t="shared" si="20"/>
        <v>1.8128258338795077E-2</v>
      </c>
      <c r="U54" s="1134">
        <f t="shared" si="20"/>
        <v>-2.3724559622689263E-3</v>
      </c>
      <c r="V54" s="1134">
        <f t="shared" si="20"/>
        <v>-8.9254471970469254E-5</v>
      </c>
      <c r="W54" s="1134">
        <f t="shared" si="20"/>
        <v>-7.3797800455691481E-3</v>
      </c>
      <c r="X54" s="1134">
        <f t="shared" si="20"/>
        <v>5.8228999770187668E-4</v>
      </c>
      <c r="Z54" s="735">
        <f t="shared" si="6"/>
        <v>0.44331885833671664</v>
      </c>
      <c r="AA54" s="1012"/>
      <c r="AB54" s="463">
        <f>IF('TAR_Tab 2_Volumina'!R57="storage",1,0)</f>
        <v>0</v>
      </c>
      <c r="AC54" s="736">
        <f t="shared" si="7"/>
        <v>0.44331885833671664</v>
      </c>
      <c r="AD54" s="736">
        <f t="shared" si="8"/>
        <v>0.47315028391735275</v>
      </c>
      <c r="AE54" s="1020"/>
      <c r="AF54" s="1019">
        <f t="shared" si="9"/>
        <v>0.47315028391735275</v>
      </c>
      <c r="AG54" s="737">
        <f t="shared" si="10"/>
        <v>0.47299999999999998</v>
      </c>
      <c r="AH54" s="738">
        <f>AG54+'TAR_Tab 14_Overige tarieven'!$AA$14+'TAR_Tab 14_Overige tarieven'!$AA$15</f>
        <v>0.65300000000000002</v>
      </c>
      <c r="AI54" s="1315"/>
      <c r="AJ54" s="22"/>
    </row>
    <row r="55" spans="1:36">
      <c r="A55" s="644">
        <v>301184</v>
      </c>
      <c r="B55" s="1286" t="s">
        <v>446</v>
      </c>
      <c r="C55" s="1022"/>
      <c r="D55" s="1392"/>
      <c r="E55" s="740"/>
      <c r="F55" s="1017">
        <v>1.4822250415364819</v>
      </c>
      <c r="G55" s="739">
        <f t="shared" si="15"/>
        <v>1.4104853495261163</v>
      </c>
      <c r="H55" s="739">
        <f t="shared" si="16"/>
        <v>1.4434498104136666</v>
      </c>
      <c r="I55" s="740"/>
      <c r="J55" s="741">
        <f t="shared" si="17"/>
        <v>1.3712773198929833</v>
      </c>
      <c r="K55" s="741">
        <f t="shared" si="18"/>
        <v>1.5156223009343499</v>
      </c>
      <c r="L55" s="1314">
        <v>1.454609581487073</v>
      </c>
      <c r="M55" s="66" t="b">
        <f t="shared" si="5"/>
        <v>1</v>
      </c>
      <c r="N55" s="734">
        <f t="shared" si="19"/>
        <v>1.454609581487073</v>
      </c>
      <c r="P55" s="1134">
        <f t="shared" si="20"/>
        <v>-6.7461677868109735E-2</v>
      </c>
      <c r="Q55" s="1134">
        <f t="shared" si="20"/>
        <v>6.9804860461530088E-2</v>
      </c>
      <c r="R55" s="1134">
        <f t="shared" si="20"/>
        <v>0</v>
      </c>
      <c r="S55" s="1134">
        <f t="shared" si="20"/>
        <v>2.6297237458089082E-3</v>
      </c>
      <c r="T55" s="1134">
        <f t="shared" si="20"/>
        <v>6.0903902768192859E-2</v>
      </c>
      <c r="U55" s="1134">
        <f t="shared" si="20"/>
        <v>-7.9705300171406309E-3</v>
      </c>
      <c r="V55" s="1134">
        <f t="shared" si="20"/>
        <v>-2.9986033853471463E-4</v>
      </c>
      <c r="W55" s="1134">
        <f t="shared" si="20"/>
        <v>-2.4793192922683557E-2</v>
      </c>
      <c r="X55" s="1134">
        <f t="shared" si="20"/>
        <v>1.9562680948247949E-3</v>
      </c>
      <c r="Z55" s="735">
        <f t="shared" si="6"/>
        <v>1.489379075410961</v>
      </c>
      <c r="AA55" s="1012"/>
      <c r="AB55" s="463">
        <f>IF('TAR_Tab 2_Volumina'!R58="storage",1,0)</f>
        <v>0</v>
      </c>
      <c r="AC55" s="736">
        <f t="shared" si="7"/>
        <v>1.489379075410961</v>
      </c>
      <c r="AD55" s="736">
        <f t="shared" si="8"/>
        <v>1.5896010718678144</v>
      </c>
      <c r="AE55" s="1020"/>
      <c r="AF55" s="1019">
        <f t="shared" si="9"/>
        <v>1.5896010718678144</v>
      </c>
      <c r="AG55" s="737">
        <f t="shared" si="10"/>
        <v>1.59</v>
      </c>
      <c r="AH55" s="738">
        <f>AG55+'TAR_Tab 14_Overige tarieven'!$AA$14+'TAR_Tab 14_Overige tarieven'!$AA$15</f>
        <v>1.77</v>
      </c>
      <c r="AI55" s="1315"/>
      <c r="AJ55" s="22"/>
    </row>
    <row r="56" spans="1:36">
      <c r="A56" s="644">
        <v>301185</v>
      </c>
      <c r="B56" s="1286" t="s">
        <v>824</v>
      </c>
      <c r="C56" s="1022"/>
      <c r="D56" s="1392"/>
      <c r="E56" s="740"/>
      <c r="F56" s="1017">
        <v>0.96073296833907851</v>
      </c>
      <c r="G56" s="739">
        <f t="shared" si="15"/>
        <v>0.91423349267146714</v>
      </c>
      <c r="H56" s="739">
        <f t="shared" si="16"/>
        <v>0.93560004867389734</v>
      </c>
      <c r="I56" s="740"/>
      <c r="J56" s="741">
        <f t="shared" si="17"/>
        <v>0.88882004624020239</v>
      </c>
      <c r="K56" s="741">
        <f t="shared" si="18"/>
        <v>0.9823800511075923</v>
      </c>
      <c r="L56" s="1314">
        <v>0.9364835236962521</v>
      </c>
      <c r="M56" s="66" t="b">
        <f t="shared" si="5"/>
        <v>1</v>
      </c>
      <c r="N56" s="734">
        <f t="shared" si="19"/>
        <v>0.9364835236962521</v>
      </c>
      <c r="P56" s="1134">
        <f t="shared" si="20"/>
        <v>-4.3432100687665051E-2</v>
      </c>
      <c r="Q56" s="1134">
        <f t="shared" si="20"/>
        <v>4.4940651105370051E-2</v>
      </c>
      <c r="R56" s="1134">
        <f t="shared" si="20"/>
        <v>0</v>
      </c>
      <c r="S56" s="1134">
        <f t="shared" si="20"/>
        <v>1.6930267689459183E-3</v>
      </c>
      <c r="T56" s="1134">
        <f t="shared" si="20"/>
        <v>3.9210178591634719E-2</v>
      </c>
      <c r="U56" s="1134">
        <f t="shared" si="20"/>
        <v>-5.1314594178238204E-3</v>
      </c>
      <c r="V56" s="1134">
        <f t="shared" si="20"/>
        <v>-1.9305129707770742E-4</v>
      </c>
      <c r="W56" s="1134">
        <f t="shared" si="20"/>
        <v>-1.5961957742763582E-2</v>
      </c>
      <c r="X56" s="1134">
        <f t="shared" si="20"/>
        <v>1.2594533007703542E-3</v>
      </c>
      <c r="Z56" s="735">
        <f t="shared" si="6"/>
        <v>0.95886826431764294</v>
      </c>
      <c r="AA56" s="1012"/>
      <c r="AB56" s="463">
        <f>IF('TAR_Tab 2_Volumina'!R59="storage",1,0)</f>
        <v>1</v>
      </c>
      <c r="AC56" s="736">
        <f t="shared" si="7"/>
        <v>0.71915119823823215</v>
      </c>
      <c r="AD56" s="736">
        <f t="shared" si="8"/>
        <v>0.71915119823823215</v>
      </c>
      <c r="AE56" s="1020"/>
      <c r="AF56" s="1019">
        <f t="shared" si="9"/>
        <v>0.71915119823823215</v>
      </c>
      <c r="AG56" s="737">
        <f t="shared" si="10"/>
        <v>0.71899999999999997</v>
      </c>
      <c r="AH56" s="738">
        <f>AG56+'TAR_Tab 14_Overige tarieven'!$AA$14+'TAR_Tab 14_Overige tarieven'!$AA$15</f>
        <v>0.89900000000000002</v>
      </c>
      <c r="AI56" s="1315"/>
      <c r="AJ56" s="22"/>
    </row>
    <row r="57" spans="1:36">
      <c r="A57" s="644">
        <v>301198</v>
      </c>
      <c r="B57" s="1286" t="s">
        <v>827</v>
      </c>
      <c r="C57" s="1022"/>
      <c r="D57" s="1392"/>
      <c r="E57" s="740"/>
      <c r="F57" s="1017">
        <v>1.3063791070899653</v>
      </c>
      <c r="G57" s="739">
        <f t="shared" si="15"/>
        <v>1.2431503583068111</v>
      </c>
      <c r="H57" s="739">
        <f t="shared" si="16"/>
        <v>1.2722040321911354</v>
      </c>
      <c r="I57" s="740"/>
      <c r="J57" s="741">
        <f t="shared" si="17"/>
        <v>1.2085938305815787</v>
      </c>
      <c r="K57" s="741">
        <f t="shared" si="18"/>
        <v>1.3358142338006922</v>
      </c>
      <c r="L57" s="1314">
        <v>1.2820398475104424</v>
      </c>
      <c r="M57" s="66" t="b">
        <f t="shared" si="5"/>
        <v>1</v>
      </c>
      <c r="N57" s="734">
        <f t="shared" si="19"/>
        <v>1.2820398475104424</v>
      </c>
      <c r="P57" s="1134">
        <f t="shared" ref="P57:X66" si="21">$N57*P$5</f>
        <v>-5.9458263102056035E-2</v>
      </c>
      <c r="Q57" s="1134">
        <f t="shared" si="21"/>
        <v>6.1523458803356627E-2</v>
      </c>
      <c r="R57" s="1134">
        <f t="shared" si="21"/>
        <v>0</v>
      </c>
      <c r="S57" s="1134">
        <f t="shared" si="21"/>
        <v>2.317742625223732E-3</v>
      </c>
      <c r="T57" s="1134">
        <f t="shared" si="21"/>
        <v>5.3678479236951654E-2</v>
      </c>
      <c r="U57" s="1134">
        <f t="shared" si="21"/>
        <v>-7.0249345376274704E-3</v>
      </c>
      <c r="V57" s="1134">
        <f t="shared" si="21"/>
        <v>-2.642859689515194E-4</v>
      </c>
      <c r="W57" s="1134">
        <f t="shared" si="21"/>
        <v>-2.1851816238828127E-2</v>
      </c>
      <c r="X57" s="1134">
        <f t="shared" si="21"/>
        <v>1.7241833698185441E-3</v>
      </c>
      <c r="Z57" s="735">
        <f t="shared" si="6"/>
        <v>1.3126844116983298</v>
      </c>
      <c r="AA57" s="1012"/>
      <c r="AB57" s="463">
        <f>IF('TAR_Tab 2_Volumina'!R60="storage",1,0)</f>
        <v>1</v>
      </c>
      <c r="AC57" s="736">
        <f t="shared" si="7"/>
        <v>0.98451330877374743</v>
      </c>
      <c r="AD57" s="736">
        <f t="shared" si="8"/>
        <v>0.98451330877374743</v>
      </c>
      <c r="AE57" s="1020"/>
      <c r="AF57" s="1019">
        <f t="shared" si="9"/>
        <v>0.98451330877374743</v>
      </c>
      <c r="AG57" s="737">
        <f t="shared" si="10"/>
        <v>0.98499999999999999</v>
      </c>
      <c r="AH57" s="738">
        <f>AG57+'TAR_Tab 14_Overige tarieven'!$AA$14+'TAR_Tab 14_Overige tarieven'!$AA$15</f>
        <v>1.165</v>
      </c>
      <c r="AI57" s="1315"/>
      <c r="AJ57" s="22"/>
    </row>
    <row r="58" spans="1:36">
      <c r="A58" s="644">
        <v>301214</v>
      </c>
      <c r="B58" s="1286" t="s">
        <v>447</v>
      </c>
      <c r="C58" s="1022"/>
      <c r="D58" s="1392"/>
      <c r="E58" s="740"/>
      <c r="F58" s="1017">
        <v>1.5450103553535963</v>
      </c>
      <c r="G58" s="739">
        <f t="shared" si="15"/>
        <v>1.4702318541544823</v>
      </c>
      <c r="H58" s="739">
        <f t="shared" si="16"/>
        <v>1.5045926509314138</v>
      </c>
      <c r="I58" s="740"/>
      <c r="J58" s="741">
        <f t="shared" si="17"/>
        <v>1.4293630183848431</v>
      </c>
      <c r="K58" s="741">
        <f t="shared" si="18"/>
        <v>1.5798222834779845</v>
      </c>
      <c r="L58" s="1314">
        <v>1.4293630183848431</v>
      </c>
      <c r="M58" s="66" t="b">
        <f t="shared" si="5"/>
        <v>1</v>
      </c>
      <c r="N58" s="734">
        <f t="shared" si="19"/>
        <v>1.4293630183848431</v>
      </c>
      <c r="P58" s="1134">
        <f t="shared" si="21"/>
        <v>-6.629079632782843E-2</v>
      </c>
      <c r="Q58" s="1134">
        <f t="shared" si="21"/>
        <v>6.8593310065524382E-2</v>
      </c>
      <c r="R58" s="1134">
        <f t="shared" si="21"/>
        <v>0</v>
      </c>
      <c r="S58" s="1134">
        <f t="shared" si="21"/>
        <v>2.5840816110842602E-3</v>
      </c>
      <c r="T58" s="1134">
        <f t="shared" si="21"/>
        <v>5.9846839591943653E-2</v>
      </c>
      <c r="U58" s="1134">
        <f t="shared" si="21"/>
        <v>-7.8321915298949756E-3</v>
      </c>
      <c r="V58" s="1134">
        <f t="shared" si="21"/>
        <v>-2.9465588845063549E-4</v>
      </c>
      <c r="W58" s="1134">
        <f t="shared" si="21"/>
        <v>-2.4362876143807142E-2</v>
      </c>
      <c r="X58" s="1134">
        <f t="shared" si="21"/>
        <v>1.9223146226839184E-3</v>
      </c>
      <c r="Z58" s="735">
        <f t="shared" si="6"/>
        <v>1.4635290443860982</v>
      </c>
      <c r="AA58" s="1012"/>
      <c r="AB58" s="463">
        <f>IF('TAR_Tab 2_Volumina'!R61="storage",1,0)</f>
        <v>0</v>
      </c>
      <c r="AC58" s="736">
        <f t="shared" si="7"/>
        <v>1.4635290443860982</v>
      </c>
      <c r="AD58" s="736">
        <f t="shared" si="8"/>
        <v>1.5620115631233062</v>
      </c>
      <c r="AE58" s="1020"/>
      <c r="AF58" s="1019">
        <f t="shared" si="9"/>
        <v>1.5620115631233062</v>
      </c>
      <c r="AG58" s="737">
        <f t="shared" si="10"/>
        <v>1.5620000000000001</v>
      </c>
      <c r="AH58" s="738">
        <f>AG58+'TAR_Tab 14_Overige tarieven'!$AA$14+'TAR_Tab 14_Overige tarieven'!$AA$15</f>
        <v>1.742</v>
      </c>
      <c r="AI58" s="1315"/>
      <c r="AJ58" s="22"/>
    </row>
    <row r="59" spans="1:36">
      <c r="A59" s="644">
        <v>301276</v>
      </c>
      <c r="B59" s="1286" t="s">
        <v>47</v>
      </c>
      <c r="C59" s="1022"/>
      <c r="D59" s="1392"/>
      <c r="E59" s="740"/>
      <c r="F59" s="1017">
        <v>1.8115505600509236</v>
      </c>
      <c r="G59" s="739">
        <f t="shared" si="15"/>
        <v>1.7238715129444588</v>
      </c>
      <c r="H59" s="739">
        <f t="shared" si="16"/>
        <v>1.7641601235866835</v>
      </c>
      <c r="I59" s="740"/>
      <c r="J59" s="741">
        <f t="shared" si="17"/>
        <v>1.6759521174073493</v>
      </c>
      <c r="K59" s="741">
        <f t="shared" si="18"/>
        <v>1.8523681297660177</v>
      </c>
      <c r="L59" s="1314">
        <v>1.7777994084263951</v>
      </c>
      <c r="M59" s="66" t="b">
        <f t="shared" si="5"/>
        <v>1</v>
      </c>
      <c r="N59" s="734">
        <f t="shared" si="19"/>
        <v>1.7777994084263951</v>
      </c>
      <c r="P59" s="1134">
        <f t="shared" si="21"/>
        <v>-8.2450530047222401E-2</v>
      </c>
      <c r="Q59" s="1134">
        <f t="shared" si="21"/>
        <v>8.5314328472198442E-2</v>
      </c>
      <c r="R59" s="1134">
        <f t="shared" si="21"/>
        <v>0</v>
      </c>
      <c r="S59" s="1134">
        <f t="shared" si="21"/>
        <v>3.2140042105624398E-3</v>
      </c>
      <c r="T59" s="1134">
        <f t="shared" si="21"/>
        <v>7.4435727421416117E-2</v>
      </c>
      <c r="U59" s="1134">
        <f t="shared" si="21"/>
        <v>-9.7414479662860428E-3</v>
      </c>
      <c r="V59" s="1134">
        <f t="shared" si="21"/>
        <v>-3.6648427127268426E-4</v>
      </c>
      <c r="W59" s="1134">
        <f t="shared" si="21"/>
        <v>-3.0301824126503615E-2</v>
      </c>
      <c r="X59" s="1134">
        <f t="shared" si="21"/>
        <v>2.3909180208667963E-3</v>
      </c>
      <c r="Z59" s="735">
        <f t="shared" si="6"/>
        <v>1.820294100140154</v>
      </c>
      <c r="AA59" s="1012"/>
      <c r="AB59" s="463">
        <f>IF('TAR_Tab 2_Volumina'!R62="storage",1,0)</f>
        <v>1</v>
      </c>
      <c r="AC59" s="736">
        <f t="shared" si="7"/>
        <v>1.3652205751051154</v>
      </c>
      <c r="AD59" s="736">
        <f t="shared" si="8"/>
        <v>1.3652205751051154</v>
      </c>
      <c r="AE59" s="1020"/>
      <c r="AF59" s="1019">
        <f t="shared" si="9"/>
        <v>1.3652205751051154</v>
      </c>
      <c r="AG59" s="737">
        <f t="shared" si="10"/>
        <v>1.365</v>
      </c>
      <c r="AH59" s="738">
        <f>AG59+'TAR_Tab 14_Overige tarieven'!$AA$14+'TAR_Tab 14_Overige tarieven'!$AA$15</f>
        <v>1.5449999999999999</v>
      </c>
      <c r="AI59" s="1315"/>
      <c r="AJ59" s="22"/>
    </row>
    <row r="60" spans="1:36">
      <c r="A60" s="644">
        <v>301309</v>
      </c>
      <c r="B60" s="1286" t="s">
        <v>48</v>
      </c>
      <c r="C60" s="1022"/>
      <c r="D60" s="1392"/>
      <c r="E60" s="740"/>
      <c r="F60" s="1017">
        <v>1.3063791070899653</v>
      </c>
      <c r="G60" s="739">
        <f t="shared" si="15"/>
        <v>1.2431503583068111</v>
      </c>
      <c r="H60" s="739">
        <f t="shared" si="16"/>
        <v>1.2722040321911354</v>
      </c>
      <c r="I60" s="740"/>
      <c r="J60" s="741">
        <f t="shared" si="17"/>
        <v>1.2085938305815787</v>
      </c>
      <c r="K60" s="741">
        <f t="shared" si="18"/>
        <v>1.3358142338006922</v>
      </c>
      <c r="L60" s="1314">
        <v>1.2820398475104424</v>
      </c>
      <c r="M60" s="66" t="b">
        <f t="shared" si="5"/>
        <v>1</v>
      </c>
      <c r="N60" s="734">
        <f t="shared" si="19"/>
        <v>1.2820398475104424</v>
      </c>
      <c r="P60" s="1134">
        <f t="shared" si="21"/>
        <v>-5.9458263102056035E-2</v>
      </c>
      <c r="Q60" s="1134">
        <f t="shared" si="21"/>
        <v>6.1523458803356627E-2</v>
      </c>
      <c r="R60" s="1134">
        <f t="shared" si="21"/>
        <v>0</v>
      </c>
      <c r="S60" s="1134">
        <f t="shared" si="21"/>
        <v>2.317742625223732E-3</v>
      </c>
      <c r="T60" s="1134">
        <f t="shared" si="21"/>
        <v>5.3678479236951654E-2</v>
      </c>
      <c r="U60" s="1134">
        <f t="shared" si="21"/>
        <v>-7.0249345376274704E-3</v>
      </c>
      <c r="V60" s="1134">
        <f t="shared" si="21"/>
        <v>-2.642859689515194E-4</v>
      </c>
      <c r="W60" s="1134">
        <f t="shared" si="21"/>
        <v>-2.1851816238828127E-2</v>
      </c>
      <c r="X60" s="1134">
        <f t="shared" si="21"/>
        <v>1.7241833698185441E-3</v>
      </c>
      <c r="Z60" s="735">
        <f t="shared" si="6"/>
        <v>1.3126844116983298</v>
      </c>
      <c r="AA60" s="1012"/>
      <c r="AB60" s="463">
        <f>IF('TAR_Tab 2_Volumina'!R63="storage",1,0)</f>
        <v>1</v>
      </c>
      <c r="AC60" s="736">
        <f t="shared" si="7"/>
        <v>0.98451330877374743</v>
      </c>
      <c r="AD60" s="736">
        <f t="shared" si="8"/>
        <v>0.98451330877374743</v>
      </c>
      <c r="AE60" s="1020"/>
      <c r="AF60" s="1019">
        <f t="shared" si="9"/>
        <v>0.98451330877374743</v>
      </c>
      <c r="AG60" s="737">
        <f t="shared" si="10"/>
        <v>0.98499999999999999</v>
      </c>
      <c r="AH60" s="738">
        <f>AG60+'TAR_Tab 14_Overige tarieven'!$AA$14+'TAR_Tab 14_Overige tarieven'!$AA$15</f>
        <v>1.165</v>
      </c>
      <c r="AI60" s="1315"/>
      <c r="AJ60" s="22"/>
    </row>
    <row r="61" spans="1:36">
      <c r="A61" s="644">
        <v>301311</v>
      </c>
      <c r="B61" s="1286" t="s">
        <v>448</v>
      </c>
      <c r="C61" s="1022"/>
      <c r="D61" s="1392"/>
      <c r="E61" s="740"/>
      <c r="F61" s="1017">
        <v>1.2288769957795229</v>
      </c>
      <c r="G61" s="739">
        <f t="shared" si="15"/>
        <v>1.169399349183794</v>
      </c>
      <c r="H61" s="739">
        <f t="shared" si="16"/>
        <v>1.1967293878269087</v>
      </c>
      <c r="I61" s="740"/>
      <c r="J61" s="741">
        <f t="shared" si="17"/>
        <v>1.1368929184355632</v>
      </c>
      <c r="K61" s="741">
        <f t="shared" si="18"/>
        <v>1.2565658572182543</v>
      </c>
      <c r="L61" s="1314">
        <v>1.2059816845874998</v>
      </c>
      <c r="M61" s="66" t="b">
        <f t="shared" si="5"/>
        <v>1</v>
      </c>
      <c r="N61" s="734">
        <f t="shared" si="19"/>
        <v>1.2059816845874998</v>
      </c>
      <c r="P61" s="1134">
        <f t="shared" si="21"/>
        <v>-5.5930848356786557E-2</v>
      </c>
      <c r="Q61" s="1134">
        <f t="shared" si="21"/>
        <v>5.7873524472270607E-2</v>
      </c>
      <c r="R61" s="1134">
        <f t="shared" si="21"/>
        <v>0</v>
      </c>
      <c r="S61" s="1134">
        <f t="shared" si="21"/>
        <v>2.1802404668118578E-3</v>
      </c>
      <c r="T61" s="1134">
        <f t="shared" si="21"/>
        <v>5.0493955349345573E-2</v>
      </c>
      <c r="U61" s="1134">
        <f t="shared" si="21"/>
        <v>-6.6081740004074871E-3</v>
      </c>
      <c r="V61" s="1134">
        <f t="shared" si="21"/>
        <v>-2.4860696698929784E-4</v>
      </c>
      <c r="W61" s="1134">
        <f t="shared" si="21"/>
        <v>-2.0555437656772039E-2</v>
      </c>
      <c r="X61" s="1134">
        <f t="shared" si="21"/>
        <v>1.6218946461838296E-3</v>
      </c>
      <c r="Z61" s="735">
        <f t="shared" si="6"/>
        <v>1.2348082325411562</v>
      </c>
      <c r="AA61" s="1012"/>
      <c r="AB61" s="463">
        <f>IF('TAR_Tab 2_Volumina'!R64="storage",1,0)</f>
        <v>0</v>
      </c>
      <c r="AC61" s="736">
        <f t="shared" si="7"/>
        <v>1.2348082325411562</v>
      </c>
      <c r="AD61" s="736">
        <f t="shared" si="8"/>
        <v>1.3178998700898346</v>
      </c>
      <c r="AE61" s="1020"/>
      <c r="AF61" s="1019">
        <f t="shared" si="9"/>
        <v>1.3178998700898346</v>
      </c>
      <c r="AG61" s="737">
        <f t="shared" si="10"/>
        <v>1.3180000000000001</v>
      </c>
      <c r="AH61" s="738">
        <f>AG61+'TAR_Tab 14_Overige tarieven'!$AA$14+'TAR_Tab 14_Overige tarieven'!$AA$15</f>
        <v>1.498</v>
      </c>
      <c r="AI61" s="1315"/>
      <c r="AJ61" s="22"/>
    </row>
    <row r="62" spans="1:36">
      <c r="A62" s="644">
        <v>301320</v>
      </c>
      <c r="B62" s="1286" t="s">
        <v>830</v>
      </c>
      <c r="C62" s="1022"/>
      <c r="D62" s="1392"/>
      <c r="E62" s="740"/>
      <c r="F62" s="1017">
        <v>1.0351717486005283</v>
      </c>
      <c r="G62" s="739">
        <f t="shared" si="15"/>
        <v>0.98506943596826269</v>
      </c>
      <c r="H62" s="739">
        <f t="shared" si="16"/>
        <v>1.008091499192391</v>
      </c>
      <c r="I62" s="740"/>
      <c r="J62" s="741">
        <f t="shared" si="17"/>
        <v>0.95768692423277146</v>
      </c>
      <c r="K62" s="741">
        <f t="shared" si="18"/>
        <v>1.0584960741520106</v>
      </c>
      <c r="L62" s="1314">
        <v>1.0158853762436548</v>
      </c>
      <c r="M62" s="66" t="b">
        <f t="shared" si="5"/>
        <v>1</v>
      </c>
      <c r="N62" s="734">
        <f t="shared" si="19"/>
        <v>1.0158853762436548</v>
      </c>
      <c r="P62" s="1134">
        <f t="shared" si="21"/>
        <v>-4.7114588598412825E-2</v>
      </c>
      <c r="Q62" s="1134">
        <f t="shared" si="21"/>
        <v>4.875104484125628E-2</v>
      </c>
      <c r="R62" s="1134">
        <f t="shared" si="21"/>
        <v>0</v>
      </c>
      <c r="S62" s="1134">
        <f t="shared" si="21"/>
        <v>1.8365738346071093E-3</v>
      </c>
      <c r="T62" s="1134">
        <f t="shared" si="21"/>
        <v>4.2534701383666378E-2</v>
      </c>
      <c r="U62" s="1134">
        <f t="shared" si="21"/>
        <v>-5.5665416950205987E-3</v>
      </c>
      <c r="V62" s="1134">
        <f t="shared" si="21"/>
        <v>-2.0941958358439112E-4</v>
      </c>
      <c r="W62" s="1134">
        <f t="shared" si="21"/>
        <v>-1.7315328072287788E-2</v>
      </c>
      <c r="X62" s="1134">
        <f t="shared" si="21"/>
        <v>1.3662388690667412E-3</v>
      </c>
      <c r="Z62" s="735">
        <f t="shared" si="6"/>
        <v>1.0401680572229457</v>
      </c>
      <c r="AA62" s="1012"/>
      <c r="AB62" s="463">
        <f>IF('TAR_Tab 2_Volumina'!R65="storage",1,0)</f>
        <v>1</v>
      </c>
      <c r="AC62" s="736">
        <f t="shared" si="7"/>
        <v>0.78012604291720922</v>
      </c>
      <c r="AD62" s="736">
        <f t="shared" si="8"/>
        <v>0.78012604291720922</v>
      </c>
      <c r="AE62" s="1020"/>
      <c r="AF62" s="1019">
        <f t="shared" si="9"/>
        <v>0.78012604291720922</v>
      </c>
      <c r="AG62" s="737">
        <f t="shared" si="10"/>
        <v>0.78</v>
      </c>
      <c r="AH62" s="738">
        <f>AG62+'TAR_Tab 14_Overige tarieven'!$AA$14+'TAR_Tab 14_Overige tarieven'!$AA$15</f>
        <v>0.96000000000000008</v>
      </c>
      <c r="AI62" s="1315"/>
      <c r="AJ62" s="22"/>
    </row>
    <row r="63" spans="1:36">
      <c r="A63" s="644">
        <v>301345</v>
      </c>
      <c r="B63" s="1286" t="s">
        <v>188</v>
      </c>
      <c r="C63" s="1022"/>
      <c r="D63" s="1392"/>
      <c r="E63" s="740"/>
      <c r="F63" s="1017">
        <v>1.0500540399643699</v>
      </c>
      <c r="G63" s="739">
        <f t="shared" si="15"/>
        <v>0.99923142443009438</v>
      </c>
      <c r="H63" s="739">
        <f t="shared" si="16"/>
        <v>1.0225844675647173</v>
      </c>
      <c r="I63" s="740"/>
      <c r="J63" s="741">
        <f t="shared" si="17"/>
        <v>0.97145524418648144</v>
      </c>
      <c r="K63" s="741">
        <f t="shared" si="18"/>
        <v>1.0737136909429532</v>
      </c>
      <c r="L63" s="1314">
        <v>1.0304903943790158</v>
      </c>
      <c r="M63" s="66" t="b">
        <f t="shared" si="5"/>
        <v>1</v>
      </c>
      <c r="N63" s="734">
        <f t="shared" si="19"/>
        <v>1.0304903943790158</v>
      </c>
      <c r="P63" s="1134">
        <f t="shared" si="21"/>
        <v>-4.7791938068157389E-2</v>
      </c>
      <c r="Q63" s="1134">
        <f t="shared" si="21"/>
        <v>4.9451921052957523E-2</v>
      </c>
      <c r="R63" s="1134">
        <f t="shared" si="21"/>
        <v>0</v>
      </c>
      <c r="S63" s="1134">
        <f t="shared" si="21"/>
        <v>1.8629775950988175E-3</v>
      </c>
      <c r="T63" s="1134">
        <f t="shared" si="21"/>
        <v>4.3146207464586292E-2</v>
      </c>
      <c r="U63" s="1134">
        <f t="shared" si="21"/>
        <v>-5.6465698599181312E-3</v>
      </c>
      <c r="V63" s="1134">
        <f t="shared" si="21"/>
        <v>-2.1243033350527214E-4</v>
      </c>
      <c r="W63" s="1134">
        <f t="shared" si="21"/>
        <v>-1.7564264307053348E-2</v>
      </c>
      <c r="X63" s="1134">
        <f t="shared" si="21"/>
        <v>1.3858807931721327E-3</v>
      </c>
      <c r="Z63" s="735">
        <f t="shared" si="6"/>
        <v>1.0551221787161964</v>
      </c>
      <c r="AA63" s="1012"/>
      <c r="AB63" s="463">
        <f>IF('TAR_Tab 2_Volumina'!R66="storage",1,0)</f>
        <v>0</v>
      </c>
      <c r="AC63" s="736">
        <f t="shared" si="7"/>
        <v>1.0551221787161964</v>
      </c>
      <c r="AD63" s="736">
        <f t="shared" si="8"/>
        <v>1.1261225392037799</v>
      </c>
      <c r="AE63" s="1020"/>
      <c r="AF63" s="1019">
        <f t="shared" si="9"/>
        <v>1.1261225392037799</v>
      </c>
      <c r="AG63" s="737">
        <f t="shared" si="10"/>
        <v>1.1259999999999999</v>
      </c>
      <c r="AH63" s="738">
        <f>AG63+'TAR_Tab 14_Overige tarieven'!$AA$14+'TAR_Tab 14_Overige tarieven'!$AA$15</f>
        <v>1.3059999999999998</v>
      </c>
      <c r="AI63" s="1315"/>
      <c r="AJ63" s="22"/>
    </row>
    <row r="64" spans="1:36">
      <c r="A64" s="644">
        <v>301348</v>
      </c>
      <c r="B64" s="1286" t="s">
        <v>19</v>
      </c>
      <c r="C64" s="1022"/>
      <c r="D64" s="1392"/>
      <c r="E64" s="740"/>
      <c r="F64" s="1017">
        <v>1.5744843804783035</v>
      </c>
      <c r="G64" s="739">
        <f t="shared" si="15"/>
        <v>1.4982793364631537</v>
      </c>
      <c r="H64" s="739">
        <f t="shared" si="16"/>
        <v>1.5332956311039014</v>
      </c>
      <c r="I64" s="740"/>
      <c r="J64" s="741">
        <f t="shared" si="17"/>
        <v>1.4566308495487064</v>
      </c>
      <c r="K64" s="741">
        <f t="shared" si="18"/>
        <v>1.6099604126590965</v>
      </c>
      <c r="L64" s="1314">
        <v>1.4566308495487064</v>
      </c>
      <c r="M64" s="66" t="b">
        <f t="shared" si="5"/>
        <v>1</v>
      </c>
      <c r="N64" s="734">
        <f t="shared" si="19"/>
        <v>1.4566308495487064</v>
      </c>
      <c r="P64" s="1134">
        <f t="shared" si="21"/>
        <v>-6.7555419952992482E-2</v>
      </c>
      <c r="Q64" s="1134">
        <f t="shared" si="21"/>
        <v>6.9901858540460271E-2</v>
      </c>
      <c r="R64" s="1134">
        <f t="shared" si="21"/>
        <v>0</v>
      </c>
      <c r="S64" s="1134">
        <f t="shared" si="21"/>
        <v>2.6333779061320436E-3</v>
      </c>
      <c r="T64" s="1134">
        <f t="shared" si="21"/>
        <v>6.0988532427629256E-2</v>
      </c>
      <c r="U64" s="1134">
        <f t="shared" si="21"/>
        <v>-7.9816055510591316E-3</v>
      </c>
      <c r="V64" s="1134">
        <f t="shared" si="21"/>
        <v>-3.0027701262578664E-4</v>
      </c>
      <c r="W64" s="1134">
        <f t="shared" si="21"/>
        <v>-2.4827644564992486E-2</v>
      </c>
      <c r="X64" s="1134">
        <f t="shared" si="21"/>
        <v>1.958986447756321E-3</v>
      </c>
      <c r="Z64" s="735">
        <f t="shared" si="6"/>
        <v>1.4914486577890145</v>
      </c>
      <c r="AA64" s="1012"/>
      <c r="AB64" s="463">
        <f>IF('TAR_Tab 2_Volumina'!R67="storage",1,0)</f>
        <v>1</v>
      </c>
      <c r="AC64" s="736">
        <f t="shared" si="7"/>
        <v>1.1185864933417609</v>
      </c>
      <c r="AD64" s="736">
        <f t="shared" si="8"/>
        <v>1.1185864933417609</v>
      </c>
      <c r="AE64" s="1020"/>
      <c r="AF64" s="1019">
        <f t="shared" si="9"/>
        <v>1.1185864933417609</v>
      </c>
      <c r="AG64" s="737">
        <f t="shared" si="10"/>
        <v>1.119</v>
      </c>
      <c r="AH64" s="738">
        <f>AG64+'TAR_Tab 14_Overige tarieven'!$AA$14+'TAR_Tab 14_Overige tarieven'!$AA$15</f>
        <v>1.2989999999999999</v>
      </c>
      <c r="AI64" s="1315"/>
      <c r="AJ64" s="22"/>
    </row>
    <row r="65" spans="1:36" s="101" customFormat="1">
      <c r="A65" s="644">
        <v>301360</v>
      </c>
      <c r="B65" s="1286" t="s">
        <v>189</v>
      </c>
      <c r="C65" s="1022"/>
      <c r="D65" s="1392"/>
      <c r="E65" s="740"/>
      <c r="F65" s="1017">
        <v>1.0122528168971949</v>
      </c>
      <c r="G65" s="739">
        <f t="shared" si="15"/>
        <v>0.96325978055937067</v>
      </c>
      <c r="H65" s="739">
        <f t="shared" si="16"/>
        <v>0.98577213020658105</v>
      </c>
      <c r="I65" s="740"/>
      <c r="J65" s="741">
        <f t="shared" si="17"/>
        <v>0.93648352369625198</v>
      </c>
      <c r="K65" s="741">
        <f t="shared" si="18"/>
        <v>1.0350607367169102</v>
      </c>
      <c r="L65" s="1314">
        <v>0.93648352369625198</v>
      </c>
      <c r="M65" s="66" t="b">
        <f t="shared" si="5"/>
        <v>1</v>
      </c>
      <c r="N65" s="734">
        <f t="shared" si="19"/>
        <v>0.93648352369625198</v>
      </c>
      <c r="P65" s="1134">
        <f t="shared" si="21"/>
        <v>-4.3432100687665044E-2</v>
      </c>
      <c r="Q65" s="1134">
        <f t="shared" si="21"/>
        <v>4.4940651105370044E-2</v>
      </c>
      <c r="R65" s="1134">
        <f t="shared" si="21"/>
        <v>0</v>
      </c>
      <c r="S65" s="1134">
        <f t="shared" si="21"/>
        <v>1.693026768945918E-3</v>
      </c>
      <c r="T65" s="1134">
        <f t="shared" si="21"/>
        <v>3.9210178591634719E-2</v>
      </c>
      <c r="U65" s="1134">
        <f t="shared" si="21"/>
        <v>-5.1314594178238204E-3</v>
      </c>
      <c r="V65" s="1134">
        <f t="shared" si="21"/>
        <v>-1.930512970777074E-4</v>
      </c>
      <c r="W65" s="1134">
        <f t="shared" si="21"/>
        <v>-1.5961957742763579E-2</v>
      </c>
      <c r="X65" s="1134">
        <f t="shared" si="21"/>
        <v>1.2594533007703542E-3</v>
      </c>
      <c r="Z65" s="735">
        <f t="shared" si="6"/>
        <v>0.95886826431764283</v>
      </c>
      <c r="AA65" s="1012"/>
      <c r="AB65" s="463">
        <f>IF('TAR_Tab 2_Volumina'!R68="storage",1,0)</f>
        <v>1</v>
      </c>
      <c r="AC65" s="736">
        <f t="shared" si="7"/>
        <v>0.71915119823823215</v>
      </c>
      <c r="AD65" s="736">
        <f t="shared" si="8"/>
        <v>0.71915119823823215</v>
      </c>
      <c r="AE65" s="1020"/>
      <c r="AF65" s="1019">
        <f t="shared" si="9"/>
        <v>0.71915119823823215</v>
      </c>
      <c r="AG65" s="737">
        <f t="shared" si="10"/>
        <v>0.71899999999999997</v>
      </c>
      <c r="AH65" s="738">
        <f>AG65+'TAR_Tab 14_Overige tarieven'!$AA$14+'TAR_Tab 14_Overige tarieven'!$AA$15</f>
        <v>0.89900000000000002</v>
      </c>
      <c r="AI65" s="1315"/>
      <c r="AJ65" s="22"/>
    </row>
    <row r="66" spans="1:36">
      <c r="A66" s="644">
        <v>301361</v>
      </c>
      <c r="B66" s="1286" t="s">
        <v>49</v>
      </c>
      <c r="C66" s="1022"/>
      <c r="D66" s="1392"/>
      <c r="E66" s="740"/>
      <c r="F66" s="1017">
        <v>0.96073296833907851</v>
      </c>
      <c r="G66" s="739">
        <f t="shared" si="15"/>
        <v>0.91423349267146714</v>
      </c>
      <c r="H66" s="739">
        <f t="shared" si="16"/>
        <v>0.93560004867389734</v>
      </c>
      <c r="I66" s="740"/>
      <c r="J66" s="741">
        <f t="shared" si="17"/>
        <v>0.88882004624020239</v>
      </c>
      <c r="K66" s="741">
        <f t="shared" si="18"/>
        <v>0.9823800511075923</v>
      </c>
      <c r="L66" s="1314">
        <v>0.9364835236962521</v>
      </c>
      <c r="M66" s="66" t="b">
        <f t="shared" si="5"/>
        <v>1</v>
      </c>
      <c r="N66" s="734">
        <f t="shared" si="19"/>
        <v>0.9364835236962521</v>
      </c>
      <c r="P66" s="1134">
        <f t="shared" si="21"/>
        <v>-4.3432100687665051E-2</v>
      </c>
      <c r="Q66" s="1134">
        <f t="shared" si="21"/>
        <v>4.4940651105370051E-2</v>
      </c>
      <c r="R66" s="1134">
        <f t="shared" si="21"/>
        <v>0</v>
      </c>
      <c r="S66" s="1134">
        <f t="shared" si="21"/>
        <v>1.6930267689459183E-3</v>
      </c>
      <c r="T66" s="1134">
        <f t="shared" si="21"/>
        <v>3.9210178591634719E-2</v>
      </c>
      <c r="U66" s="1134">
        <f t="shared" si="21"/>
        <v>-5.1314594178238204E-3</v>
      </c>
      <c r="V66" s="1134">
        <f t="shared" si="21"/>
        <v>-1.9305129707770742E-4</v>
      </c>
      <c r="W66" s="1134">
        <f t="shared" si="21"/>
        <v>-1.5961957742763582E-2</v>
      </c>
      <c r="X66" s="1134">
        <f t="shared" si="21"/>
        <v>1.2594533007703542E-3</v>
      </c>
      <c r="Z66" s="735">
        <f t="shared" si="6"/>
        <v>0.95886826431764294</v>
      </c>
      <c r="AA66" s="1012"/>
      <c r="AB66" s="463">
        <f>IF('TAR_Tab 2_Volumina'!R69="storage",1,0)</f>
        <v>1</v>
      </c>
      <c r="AC66" s="736">
        <f t="shared" si="7"/>
        <v>0.71915119823823215</v>
      </c>
      <c r="AD66" s="736">
        <f t="shared" si="8"/>
        <v>0.71915119823823215</v>
      </c>
      <c r="AE66" s="1020"/>
      <c r="AF66" s="1019">
        <f t="shared" si="9"/>
        <v>0.71915119823823215</v>
      </c>
      <c r="AG66" s="737">
        <f t="shared" si="10"/>
        <v>0.71899999999999997</v>
      </c>
      <c r="AH66" s="738">
        <f>AG66+'TAR_Tab 14_Overige tarieven'!$AA$14+'TAR_Tab 14_Overige tarieven'!$AA$15</f>
        <v>0.89900000000000002</v>
      </c>
      <c r="AI66" s="1315"/>
      <c r="AJ66" s="22"/>
    </row>
    <row r="67" spans="1:36">
      <c r="A67" s="644">
        <v>301368</v>
      </c>
      <c r="B67" s="1286" t="s">
        <v>832</v>
      </c>
      <c r="C67" s="1022"/>
      <c r="D67" s="1392"/>
      <c r="E67" s="740"/>
      <c r="F67" s="1017">
        <v>0.99863408226450245</v>
      </c>
      <c r="G67" s="739">
        <f t="shared" si="15"/>
        <v>0.95030019268290056</v>
      </c>
      <c r="H67" s="739">
        <f t="shared" si="16"/>
        <v>0.97250966373033243</v>
      </c>
      <c r="I67" s="740"/>
      <c r="J67" s="741">
        <f t="shared" si="17"/>
        <v>0.92388418054381571</v>
      </c>
      <c r="K67" s="741">
        <f t="shared" si="18"/>
        <v>1.021135146916849</v>
      </c>
      <c r="L67" s="1314">
        <v>0.98002844625786323</v>
      </c>
      <c r="M67" s="66" t="b">
        <f t="shared" si="5"/>
        <v>1</v>
      </c>
      <c r="N67" s="734">
        <f t="shared" si="19"/>
        <v>0.98002844625786323</v>
      </c>
      <c r="P67" s="1134">
        <f t="shared" ref="P67:X78" si="22">$N67*P$5</f>
        <v>-4.5451620960341943E-2</v>
      </c>
      <c r="Q67" s="1134">
        <f t="shared" si="22"/>
        <v>4.7030316457439235E-2</v>
      </c>
      <c r="R67" s="1134">
        <f t="shared" si="22"/>
        <v>0</v>
      </c>
      <c r="S67" s="1134">
        <f t="shared" si="22"/>
        <v>1.7717496911149116E-3</v>
      </c>
      <c r="T67" s="1134">
        <f t="shared" si="22"/>
        <v>4.1033386525566796E-2</v>
      </c>
      <c r="U67" s="1134">
        <f t="shared" si="22"/>
        <v>-5.3700637256660416E-3</v>
      </c>
      <c r="V67" s="1134">
        <f t="shared" si="22"/>
        <v>-2.0202786053980412E-4</v>
      </c>
      <c r="W67" s="1134">
        <f t="shared" si="22"/>
        <v>-1.6704162166282933E-2</v>
      </c>
      <c r="X67" s="1134">
        <f t="shared" si="22"/>
        <v>1.3180157795158946E-3</v>
      </c>
      <c r="Z67" s="735">
        <f t="shared" si="6"/>
        <v>1.0034540399986693</v>
      </c>
      <c r="AA67" s="1012"/>
      <c r="AB67" s="463">
        <f>IF('TAR_Tab 2_Volumina'!R70="storage",1,0)</f>
        <v>0</v>
      </c>
      <c r="AC67" s="736">
        <f t="shared" si="7"/>
        <v>1.0034540399986693</v>
      </c>
      <c r="AD67" s="736">
        <f t="shared" si="8"/>
        <v>1.0709775932039622</v>
      </c>
      <c r="AE67" s="1020"/>
      <c r="AF67" s="1019">
        <f t="shared" si="9"/>
        <v>1.0709775932039622</v>
      </c>
      <c r="AG67" s="737">
        <f t="shared" si="10"/>
        <v>1.071</v>
      </c>
      <c r="AH67" s="738">
        <f>AG67+'TAR_Tab 14_Overige tarieven'!$AA$14+'TAR_Tab 14_Overige tarieven'!$AA$15</f>
        <v>1.2509999999999999</v>
      </c>
      <c r="AI67" s="1315"/>
      <c r="AJ67" s="22"/>
    </row>
    <row r="68" spans="1:36">
      <c r="A68" s="644">
        <v>301375</v>
      </c>
      <c r="B68" s="98" t="s">
        <v>846</v>
      </c>
      <c r="C68" s="1022"/>
      <c r="D68" s="1392"/>
      <c r="E68" s="740"/>
      <c r="F68" s="1017">
        <v>1.0052350629782434</v>
      </c>
      <c r="G68" s="739">
        <f t="shared" si="15"/>
        <v>0.9565816859300964</v>
      </c>
      <c r="H68" s="739">
        <f t="shared" si="16"/>
        <v>0.97893796179087289</v>
      </c>
      <c r="I68" s="740"/>
      <c r="J68" s="741">
        <f t="shared" si="17"/>
        <v>0.92999106370132922</v>
      </c>
      <c r="K68" s="741">
        <f t="shared" si="18"/>
        <v>1.0278848598804167</v>
      </c>
      <c r="L68" s="1314">
        <v>0.98650644354190953</v>
      </c>
      <c r="M68" s="66" t="b">
        <f t="shared" ref="M68:M75" si="23">IF(L68&gt;0,AND(L68&gt;=J68,L68&lt;=K68),"")</f>
        <v>1</v>
      </c>
      <c r="N68" s="734">
        <f t="shared" si="19"/>
        <v>0.98650644354190953</v>
      </c>
      <c r="P68" s="1134">
        <f t="shared" si="22"/>
        <v>-4.5752056604083581E-2</v>
      </c>
      <c r="Q68" s="1134">
        <f t="shared" si="22"/>
        <v>4.7341187293324101E-2</v>
      </c>
      <c r="R68" s="1134">
        <f t="shared" si="22"/>
        <v>0</v>
      </c>
      <c r="S68" s="1134">
        <f t="shared" si="22"/>
        <v>1.7834609733035844E-3</v>
      </c>
      <c r="T68" s="1134">
        <f t="shared" si="22"/>
        <v>4.1304617597973756E-2</v>
      </c>
      <c r="U68" s="1134">
        <f t="shared" si="22"/>
        <v>-5.4055598976015112E-3</v>
      </c>
      <c r="V68" s="1134">
        <f t="shared" si="22"/>
        <v>-2.0336326660569517E-4</v>
      </c>
      <c r="W68" s="1134">
        <f t="shared" si="22"/>
        <v>-1.6814576835937307E-2</v>
      </c>
      <c r="X68" s="1134">
        <f t="shared" si="22"/>
        <v>1.3267278762643473E-3</v>
      </c>
      <c r="Z68" s="735">
        <f t="shared" si="6"/>
        <v>1.0100868806785472</v>
      </c>
      <c r="AA68" s="1012"/>
      <c r="AB68" s="463">
        <f>IF('TAR_Tab 2_Volumina'!R71="storage",1,0)</f>
        <v>0</v>
      </c>
      <c r="AC68" s="736">
        <f t="shared" si="7"/>
        <v>1.0100868806785472</v>
      </c>
      <c r="AD68" s="736">
        <f t="shared" si="8"/>
        <v>1.0780567652081432</v>
      </c>
      <c r="AE68" s="1020"/>
      <c r="AF68" s="1019">
        <f t="shared" si="9"/>
        <v>1.0780567652081432</v>
      </c>
      <c r="AG68" s="737">
        <f t="shared" si="10"/>
        <v>1.0780000000000001</v>
      </c>
      <c r="AH68" s="738">
        <f>AG68+'TAR_Tab 14_Overige tarieven'!$AA$14+'TAR_Tab 14_Overige tarieven'!$AA$15</f>
        <v>1.258</v>
      </c>
      <c r="AI68" s="1315"/>
      <c r="AJ68" s="22"/>
    </row>
    <row r="69" spans="1:36" s="101" customFormat="1">
      <c r="A69" s="644">
        <v>301391</v>
      </c>
      <c r="B69" s="98" t="s">
        <v>658</v>
      </c>
      <c r="C69" s="1022"/>
      <c r="D69" s="1392"/>
      <c r="E69" s="740"/>
      <c r="F69" s="1017">
        <v>0.96164017605233532</v>
      </c>
      <c r="G69" s="739">
        <f t="shared" si="15"/>
        <v>0.91509679153140233</v>
      </c>
      <c r="H69" s="739">
        <f t="shared" si="16"/>
        <v>0.93648352369625221</v>
      </c>
      <c r="I69" s="740"/>
      <c r="J69" s="741">
        <f t="shared" si="17"/>
        <v>0.8896593475114396</v>
      </c>
      <c r="K69" s="741">
        <f t="shared" si="18"/>
        <v>0.98330769988106481</v>
      </c>
      <c r="L69" s="1314">
        <v>0.93648352369625198</v>
      </c>
      <c r="M69" s="66" t="b">
        <f t="shared" si="23"/>
        <v>1</v>
      </c>
      <c r="N69" s="734">
        <f t="shared" si="19"/>
        <v>0.93648352369625198</v>
      </c>
      <c r="P69" s="1134">
        <f t="shared" si="22"/>
        <v>-4.3432100687665044E-2</v>
      </c>
      <c r="Q69" s="1134">
        <f t="shared" si="22"/>
        <v>4.4940651105370044E-2</v>
      </c>
      <c r="R69" s="1134">
        <f t="shared" si="22"/>
        <v>0</v>
      </c>
      <c r="S69" s="1134">
        <f t="shared" si="22"/>
        <v>1.693026768945918E-3</v>
      </c>
      <c r="T69" s="1134">
        <f t="shared" si="22"/>
        <v>3.9210178591634719E-2</v>
      </c>
      <c r="U69" s="1134">
        <f t="shared" si="22"/>
        <v>-5.1314594178238204E-3</v>
      </c>
      <c r="V69" s="1134">
        <f t="shared" si="22"/>
        <v>-1.930512970777074E-4</v>
      </c>
      <c r="W69" s="1134">
        <f t="shared" si="22"/>
        <v>-1.5961957742763579E-2</v>
      </c>
      <c r="X69" s="1134">
        <f t="shared" si="22"/>
        <v>1.2594533007703542E-3</v>
      </c>
      <c r="Z69" s="735">
        <f t="shared" si="6"/>
        <v>0.95886826431764283</v>
      </c>
      <c r="AA69" s="1012"/>
      <c r="AB69" s="463">
        <f>IF('TAR_Tab 2_Volumina'!R72="storage",1,0)</f>
        <v>1</v>
      </c>
      <c r="AC69" s="736">
        <f t="shared" si="7"/>
        <v>0.71915119823823215</v>
      </c>
      <c r="AD69" s="736">
        <f t="shared" si="8"/>
        <v>0.71915119823823215</v>
      </c>
      <c r="AE69" s="1020"/>
      <c r="AF69" s="1019">
        <f t="shared" si="9"/>
        <v>0.71915119823823215</v>
      </c>
      <c r="AG69" s="737">
        <f t="shared" si="10"/>
        <v>0.71899999999999997</v>
      </c>
      <c r="AH69" s="738">
        <f>AG69+'TAR_Tab 14_Overige tarieven'!$AA$14+'TAR_Tab 14_Overige tarieven'!$AA$15</f>
        <v>0.89900000000000002</v>
      </c>
      <c r="AI69" s="1315"/>
      <c r="AJ69" s="22"/>
    </row>
    <row r="70" spans="1:36" s="101" customFormat="1">
      <c r="A70" s="644">
        <v>301392</v>
      </c>
      <c r="B70" s="98" t="s">
        <v>847</v>
      </c>
      <c r="C70" s="1022"/>
      <c r="D70" s="1392"/>
      <c r="E70" s="740"/>
      <c r="F70" s="1017">
        <v>1.1429126607219802</v>
      </c>
      <c r="G70" s="739">
        <f t="shared" si="15"/>
        <v>1.0875956879430364</v>
      </c>
      <c r="H70" s="739">
        <f t="shared" si="16"/>
        <v>1.1130138927678592</v>
      </c>
      <c r="I70" s="740"/>
      <c r="J70" s="741">
        <f t="shared" si="17"/>
        <v>1.0573631981294662</v>
      </c>
      <c r="K70" s="741">
        <f t="shared" si="18"/>
        <v>1.1686645874062522</v>
      </c>
      <c r="L70" s="1314">
        <v>1.1216189583234468</v>
      </c>
      <c r="M70" s="66" t="b">
        <f t="shared" si="23"/>
        <v>1</v>
      </c>
      <c r="N70" s="734">
        <f t="shared" si="19"/>
        <v>1.1216189583234468</v>
      </c>
      <c r="P70" s="1134">
        <f t="shared" si="22"/>
        <v>-5.2018285744980575E-2</v>
      </c>
      <c r="Q70" s="1134">
        <f t="shared" si="22"/>
        <v>5.3825064727494196E-2</v>
      </c>
      <c r="R70" s="1134">
        <f t="shared" si="22"/>
        <v>0</v>
      </c>
      <c r="S70" s="1134">
        <f t="shared" si="22"/>
        <v>2.0277248589530435E-3</v>
      </c>
      <c r="T70" s="1134">
        <f t="shared" si="22"/>
        <v>4.6961722822461714E-2</v>
      </c>
      <c r="U70" s="1134">
        <f t="shared" si="22"/>
        <v>-6.1459086265413052E-3</v>
      </c>
      <c r="V70" s="1134">
        <f t="shared" si="22"/>
        <v>-2.3121602169428007E-4</v>
      </c>
      <c r="W70" s="1134">
        <f t="shared" si="22"/>
        <v>-1.911751137444279E-2</v>
      </c>
      <c r="X70" s="1134">
        <f t="shared" si="22"/>
        <v>1.508437322732072E-3</v>
      </c>
      <c r="Z70" s="735">
        <f t="shared" si="6"/>
        <v>1.1484289862874288</v>
      </c>
      <c r="AA70" s="1012"/>
      <c r="AB70" s="463">
        <f>IF('TAR_Tab 2_Volumina'!R73="storage",1,0)</f>
        <v>0</v>
      </c>
      <c r="AC70" s="736">
        <f t="shared" si="7"/>
        <v>1.1484289862874288</v>
      </c>
      <c r="AD70" s="736">
        <f t="shared" si="8"/>
        <v>1.2257080670096336</v>
      </c>
      <c r="AE70" s="1020"/>
      <c r="AF70" s="1019">
        <f t="shared" si="9"/>
        <v>1.2257080670096336</v>
      </c>
      <c r="AG70" s="737">
        <f t="shared" si="10"/>
        <v>1.226</v>
      </c>
      <c r="AH70" s="738">
        <f>AG70+'TAR_Tab 14_Overige tarieven'!$AA$14+'TAR_Tab 14_Overige tarieven'!$AA$15</f>
        <v>1.4059999999999999</v>
      </c>
      <c r="AI70" s="1315"/>
      <c r="AJ70" s="22"/>
    </row>
    <row r="71" spans="1:36" s="101" customFormat="1">
      <c r="A71" s="646">
        <v>301397</v>
      </c>
      <c r="B71" s="1286" t="s">
        <v>190</v>
      </c>
      <c r="C71" s="1022"/>
      <c r="D71" s="1392"/>
      <c r="E71" s="740"/>
      <c r="F71" s="1017">
        <v>1.3063791070899653</v>
      </c>
      <c r="G71" s="739">
        <f t="shared" ref="G71:G78" si="24">F71*$G$5</f>
        <v>1.2431503583068111</v>
      </c>
      <c r="H71" s="739">
        <f t="shared" ref="H71:H78" si="25">G71*$H$5</f>
        <v>1.2722040321911354</v>
      </c>
      <c r="I71" s="740"/>
      <c r="J71" s="741">
        <f t="shared" ref="J71:J78" si="26">H71*$J$5</f>
        <v>1.2085938305815787</v>
      </c>
      <c r="K71" s="741">
        <f t="shared" ref="K71:K78" si="27">H71*$K$5</f>
        <v>1.3358142338006922</v>
      </c>
      <c r="L71" s="1314">
        <v>1.2820398475104424</v>
      </c>
      <c r="M71" s="66" t="b">
        <f t="shared" si="23"/>
        <v>1</v>
      </c>
      <c r="N71" s="734">
        <f t="shared" ref="N71:N78" si="28">IF(L71&gt;0,L71,H71)</f>
        <v>1.2820398475104424</v>
      </c>
      <c r="P71" s="1134">
        <f t="shared" si="22"/>
        <v>-5.9458263102056035E-2</v>
      </c>
      <c r="Q71" s="1134">
        <f t="shared" si="22"/>
        <v>6.1523458803356627E-2</v>
      </c>
      <c r="R71" s="1134">
        <f t="shared" si="22"/>
        <v>0</v>
      </c>
      <c r="S71" s="1134">
        <f t="shared" si="22"/>
        <v>2.317742625223732E-3</v>
      </c>
      <c r="T71" s="1134">
        <f t="shared" si="22"/>
        <v>5.3678479236951654E-2</v>
      </c>
      <c r="U71" s="1134">
        <f t="shared" si="22"/>
        <v>-7.0249345376274704E-3</v>
      </c>
      <c r="V71" s="1134">
        <f t="shared" si="22"/>
        <v>-2.642859689515194E-4</v>
      </c>
      <c r="W71" s="1134">
        <f t="shared" si="22"/>
        <v>-2.1851816238828127E-2</v>
      </c>
      <c r="X71" s="1134">
        <f t="shared" si="22"/>
        <v>1.7241833698185441E-3</v>
      </c>
      <c r="Z71" s="735">
        <f t="shared" si="6"/>
        <v>1.3126844116983298</v>
      </c>
      <c r="AA71" s="1012"/>
      <c r="AB71" s="463">
        <f>IF('TAR_Tab 2_Volumina'!R74="storage",1,0)</f>
        <v>1</v>
      </c>
      <c r="AC71" s="736">
        <f t="shared" si="7"/>
        <v>0.98451330877374743</v>
      </c>
      <c r="AD71" s="736">
        <f t="shared" si="8"/>
        <v>0.98451330877374743</v>
      </c>
      <c r="AE71" s="1020"/>
      <c r="AF71" s="1019">
        <f t="shared" si="9"/>
        <v>0.98451330877374743</v>
      </c>
      <c r="AG71" s="737">
        <f t="shared" si="10"/>
        <v>0.98499999999999999</v>
      </c>
      <c r="AH71" s="738">
        <f>AG71+'TAR_Tab 14_Overige tarieven'!$AA$14+'TAR_Tab 14_Overige tarieven'!$AA$15</f>
        <v>1.165</v>
      </c>
      <c r="AI71" s="1315"/>
      <c r="AJ71" s="22"/>
    </row>
    <row r="72" spans="1:36" s="101" customFormat="1">
      <c r="A72" s="644">
        <v>301400</v>
      </c>
      <c r="B72" s="647" t="s">
        <v>191</v>
      </c>
      <c r="C72" s="1022"/>
      <c r="D72" s="1392"/>
      <c r="E72" s="740"/>
      <c r="F72" s="1017">
        <v>1.0122528168971949</v>
      </c>
      <c r="G72" s="739">
        <f t="shared" si="24"/>
        <v>0.96325978055937067</v>
      </c>
      <c r="H72" s="739">
        <f t="shared" si="25"/>
        <v>0.98577213020658105</v>
      </c>
      <c r="I72" s="740"/>
      <c r="J72" s="741">
        <f t="shared" si="26"/>
        <v>0.93648352369625198</v>
      </c>
      <c r="K72" s="741">
        <f t="shared" si="27"/>
        <v>1.0350607367169102</v>
      </c>
      <c r="L72" s="1314">
        <v>0.93648352369625198</v>
      </c>
      <c r="M72" s="66" t="b">
        <f t="shared" si="23"/>
        <v>1</v>
      </c>
      <c r="N72" s="734">
        <f t="shared" si="28"/>
        <v>0.93648352369625198</v>
      </c>
      <c r="P72" s="1134">
        <f t="shared" si="22"/>
        <v>-4.3432100687665044E-2</v>
      </c>
      <c r="Q72" s="1134">
        <f t="shared" si="22"/>
        <v>4.4940651105370044E-2</v>
      </c>
      <c r="R72" s="1134">
        <f t="shared" si="22"/>
        <v>0</v>
      </c>
      <c r="S72" s="1134">
        <f t="shared" si="22"/>
        <v>1.693026768945918E-3</v>
      </c>
      <c r="T72" s="1134">
        <f t="shared" si="22"/>
        <v>3.9210178591634719E-2</v>
      </c>
      <c r="U72" s="1134">
        <f t="shared" si="22"/>
        <v>-5.1314594178238204E-3</v>
      </c>
      <c r="V72" s="1134">
        <f t="shared" si="22"/>
        <v>-1.930512970777074E-4</v>
      </c>
      <c r="W72" s="1134">
        <f t="shared" si="22"/>
        <v>-1.5961957742763579E-2</v>
      </c>
      <c r="X72" s="1134">
        <f t="shared" si="22"/>
        <v>1.2594533007703542E-3</v>
      </c>
      <c r="Z72" s="735">
        <f t="shared" ref="Z72:Z78" si="29">N72+SUM(P72:X72)</f>
        <v>0.95886826431764283</v>
      </c>
      <c r="AA72" s="1012"/>
      <c r="AB72" s="463">
        <f>IF('TAR_Tab 2_Volumina'!R75="storage",1,0)</f>
        <v>1</v>
      </c>
      <c r="AC72" s="736">
        <f t="shared" ref="AC72:AC78" si="30">IF(AB72=1,Z72*$AC$5,Z72)</f>
        <v>0.71915119823823215</v>
      </c>
      <c r="AD72" s="736">
        <f t="shared" ref="AD72:AD76" si="31">IF(AB72=0,AC72*(1+$AD$5),AC72)</f>
        <v>0.71915119823823215</v>
      </c>
      <c r="AE72" s="1020"/>
      <c r="AF72" s="1019">
        <f t="shared" ref="AF72:AF78" si="32">AD72</f>
        <v>0.71915119823823215</v>
      </c>
      <c r="AG72" s="737">
        <f t="shared" ref="AG72:AG78" si="33">ROUND(AD72,3)</f>
        <v>0.71899999999999997</v>
      </c>
      <c r="AH72" s="738">
        <f>AG72+'TAR_Tab 14_Overige tarieven'!$AA$14+'TAR_Tab 14_Overige tarieven'!$AA$15</f>
        <v>0.89900000000000002</v>
      </c>
      <c r="AI72" s="1315"/>
      <c r="AJ72" s="22"/>
    </row>
    <row r="73" spans="1:36" s="101" customFormat="1">
      <c r="A73" s="648">
        <v>301401</v>
      </c>
      <c r="B73" s="649" t="s">
        <v>534</v>
      </c>
      <c r="C73" s="1022"/>
      <c r="D73" s="1392"/>
      <c r="E73" s="740"/>
      <c r="F73" s="1017">
        <v>1.0122528168971949</v>
      </c>
      <c r="G73" s="739">
        <f t="shared" si="24"/>
        <v>0.96325978055937067</v>
      </c>
      <c r="H73" s="739">
        <f t="shared" si="25"/>
        <v>0.98577213020658105</v>
      </c>
      <c r="I73" s="740"/>
      <c r="J73" s="741">
        <f t="shared" si="26"/>
        <v>0.93648352369625198</v>
      </c>
      <c r="K73" s="741">
        <f t="shared" si="27"/>
        <v>1.0350607367169102</v>
      </c>
      <c r="L73" s="1314">
        <v>0.93648352369625198</v>
      </c>
      <c r="M73" s="66" t="b">
        <f t="shared" si="23"/>
        <v>1</v>
      </c>
      <c r="N73" s="734">
        <f t="shared" si="28"/>
        <v>0.93648352369625198</v>
      </c>
      <c r="P73" s="1134">
        <f t="shared" si="22"/>
        <v>-4.3432100687665044E-2</v>
      </c>
      <c r="Q73" s="1134">
        <f t="shared" si="22"/>
        <v>4.4940651105370044E-2</v>
      </c>
      <c r="R73" s="1134">
        <f t="shared" si="22"/>
        <v>0</v>
      </c>
      <c r="S73" s="1134">
        <f t="shared" si="22"/>
        <v>1.693026768945918E-3</v>
      </c>
      <c r="T73" s="1134">
        <f t="shared" si="22"/>
        <v>3.9210178591634719E-2</v>
      </c>
      <c r="U73" s="1134">
        <f t="shared" si="22"/>
        <v>-5.1314594178238204E-3</v>
      </c>
      <c r="V73" s="1134">
        <f t="shared" si="22"/>
        <v>-1.930512970777074E-4</v>
      </c>
      <c r="W73" s="1134">
        <f t="shared" si="22"/>
        <v>-1.5961957742763579E-2</v>
      </c>
      <c r="X73" s="1134">
        <f t="shared" si="22"/>
        <v>1.2594533007703542E-3</v>
      </c>
      <c r="Z73" s="735">
        <f t="shared" si="29"/>
        <v>0.95886826431764283</v>
      </c>
      <c r="AA73" s="1012"/>
      <c r="AB73" s="463">
        <f>IF('TAR_Tab 2_Volumina'!R76="storage",1,0)</f>
        <v>1</v>
      </c>
      <c r="AC73" s="736">
        <f t="shared" si="30"/>
        <v>0.71915119823823215</v>
      </c>
      <c r="AD73" s="736">
        <f t="shared" si="31"/>
        <v>0.71915119823823215</v>
      </c>
      <c r="AE73" s="1020"/>
      <c r="AF73" s="1019">
        <f t="shared" si="32"/>
        <v>0.71915119823823215</v>
      </c>
      <c r="AG73" s="737">
        <f t="shared" si="33"/>
        <v>0.71899999999999997</v>
      </c>
      <c r="AH73" s="738">
        <f>AG73+'TAR_Tab 14_Overige tarieven'!$AA$14+'TAR_Tab 14_Overige tarieven'!$AA$15</f>
        <v>0.89900000000000002</v>
      </c>
      <c r="AI73" s="1315"/>
      <c r="AJ73" s="22"/>
    </row>
    <row r="74" spans="1:36" s="101" customFormat="1">
      <c r="A74" s="644">
        <v>301452</v>
      </c>
      <c r="B74" s="98" t="s">
        <v>535</v>
      </c>
      <c r="C74" s="1022"/>
      <c r="D74" s="1392"/>
      <c r="E74" s="740"/>
      <c r="F74" s="1017">
        <v>1.5897872084631401</v>
      </c>
      <c r="G74" s="739">
        <f t="shared" si="24"/>
        <v>1.5128415075735242</v>
      </c>
      <c r="H74" s="739">
        <f t="shared" si="25"/>
        <v>1.5481981347956539</v>
      </c>
      <c r="I74" s="740"/>
      <c r="J74" s="741">
        <f t="shared" si="26"/>
        <v>1.4707882280558711</v>
      </c>
      <c r="K74" s="741">
        <f t="shared" si="27"/>
        <v>1.6256080415354368</v>
      </c>
      <c r="L74" s="1314">
        <v>1.4707882280558711</v>
      </c>
      <c r="M74" s="66" t="b">
        <f t="shared" si="23"/>
        <v>1</v>
      </c>
      <c r="N74" s="734">
        <f t="shared" si="28"/>
        <v>1.4707882280558711</v>
      </c>
      <c r="P74" s="1134">
        <f t="shared" si="22"/>
        <v>-6.8212008855239953E-2</v>
      </c>
      <c r="Q74" s="1134">
        <f t="shared" si="22"/>
        <v>7.0581253096753088E-2</v>
      </c>
      <c r="R74" s="1134">
        <f t="shared" si="22"/>
        <v>0</v>
      </c>
      <c r="S74" s="1134">
        <f t="shared" si="22"/>
        <v>2.6589723989172724E-3</v>
      </c>
      <c r="T74" s="1134">
        <f t="shared" si="22"/>
        <v>6.1581296022085563E-2</v>
      </c>
      <c r="U74" s="1134">
        <f t="shared" si="22"/>
        <v>-8.059180875593994E-3</v>
      </c>
      <c r="V74" s="1134">
        <f t="shared" si="22"/>
        <v>-3.0319548392279439E-4</v>
      </c>
      <c r="W74" s="1134">
        <f t="shared" si="22"/>
        <v>-2.5068950975368768E-2</v>
      </c>
      <c r="X74" s="1134">
        <f t="shared" si="22"/>
        <v>1.9780263525063027E-3</v>
      </c>
      <c r="Z74" s="735">
        <f t="shared" si="29"/>
        <v>1.5059444397360078</v>
      </c>
      <c r="AA74" s="1012"/>
      <c r="AB74" s="463">
        <f>IF('TAR_Tab 2_Volumina'!R77="storage",1,0)</f>
        <v>0</v>
      </c>
      <c r="AC74" s="736">
        <f t="shared" si="30"/>
        <v>1.5059444397360078</v>
      </c>
      <c r="AD74" s="736">
        <f t="shared" si="31"/>
        <v>1.6072811382268166</v>
      </c>
      <c r="AE74" s="1020"/>
      <c r="AF74" s="1019">
        <f t="shared" si="32"/>
        <v>1.6072811382268166</v>
      </c>
      <c r="AG74" s="737">
        <f t="shared" si="33"/>
        <v>1.607</v>
      </c>
      <c r="AH74" s="738">
        <f>AG74+'TAR_Tab 14_Overige tarieven'!$AA$14+'TAR_Tab 14_Overige tarieven'!$AA$15</f>
        <v>1.7869999999999999</v>
      </c>
      <c r="AI74" s="1315"/>
      <c r="AJ74" s="22"/>
    </row>
    <row r="75" spans="1:36" s="101" customFormat="1">
      <c r="A75" s="644">
        <v>301453</v>
      </c>
      <c r="B75" s="1286" t="s">
        <v>546</v>
      </c>
      <c r="C75" s="1022"/>
      <c r="D75" s="1392"/>
      <c r="E75" s="740"/>
      <c r="F75" s="1017">
        <v>0.96164017605233532</v>
      </c>
      <c r="G75" s="739">
        <f t="shared" si="24"/>
        <v>0.91509679153140233</v>
      </c>
      <c r="H75" s="739">
        <f t="shared" si="25"/>
        <v>0.93648352369625221</v>
      </c>
      <c r="I75" s="740"/>
      <c r="J75" s="741">
        <f t="shared" si="26"/>
        <v>0.8896593475114396</v>
      </c>
      <c r="K75" s="741">
        <f t="shared" si="27"/>
        <v>0.98330769988106481</v>
      </c>
      <c r="L75" s="1314">
        <v>0.93648352369625198</v>
      </c>
      <c r="M75" s="66" t="b">
        <f t="shared" si="23"/>
        <v>1</v>
      </c>
      <c r="N75" s="734">
        <f t="shared" si="28"/>
        <v>0.93648352369625198</v>
      </c>
      <c r="P75" s="1134">
        <f t="shared" si="22"/>
        <v>-4.3432100687665044E-2</v>
      </c>
      <c r="Q75" s="1134">
        <f t="shared" si="22"/>
        <v>4.4940651105370044E-2</v>
      </c>
      <c r="R75" s="1134">
        <f t="shared" si="22"/>
        <v>0</v>
      </c>
      <c r="S75" s="1134">
        <f t="shared" si="22"/>
        <v>1.693026768945918E-3</v>
      </c>
      <c r="T75" s="1134">
        <f t="shared" si="22"/>
        <v>3.9210178591634719E-2</v>
      </c>
      <c r="U75" s="1134">
        <f t="shared" si="22"/>
        <v>-5.1314594178238204E-3</v>
      </c>
      <c r="V75" s="1134">
        <f t="shared" si="22"/>
        <v>-1.930512970777074E-4</v>
      </c>
      <c r="W75" s="1134">
        <f t="shared" si="22"/>
        <v>-1.5961957742763579E-2</v>
      </c>
      <c r="X75" s="1134">
        <f t="shared" si="22"/>
        <v>1.2594533007703542E-3</v>
      </c>
      <c r="Z75" s="735">
        <f t="shared" si="29"/>
        <v>0.95886826431764283</v>
      </c>
      <c r="AA75" s="1012"/>
      <c r="AB75" s="463">
        <f>IF('TAR_Tab 2_Volumina'!R78="storage",1,0)</f>
        <v>1</v>
      </c>
      <c r="AC75" s="736">
        <f t="shared" si="30"/>
        <v>0.71915119823823215</v>
      </c>
      <c r="AD75" s="736">
        <f t="shared" si="31"/>
        <v>0.71915119823823215</v>
      </c>
      <c r="AE75" s="1020"/>
      <c r="AF75" s="1019">
        <f t="shared" si="32"/>
        <v>0.71915119823823215</v>
      </c>
      <c r="AG75" s="737">
        <f t="shared" si="33"/>
        <v>0.71899999999999997</v>
      </c>
      <c r="AH75" s="738">
        <f>AG75+'TAR_Tab 14_Overige tarieven'!$AA$14+'TAR_Tab 14_Overige tarieven'!$AA$15</f>
        <v>0.89900000000000002</v>
      </c>
      <c r="AI75" s="1315"/>
      <c r="AJ75" s="22"/>
    </row>
    <row r="76" spans="1:36" s="101" customFormat="1">
      <c r="A76" s="644">
        <v>301454</v>
      </c>
      <c r="B76" s="1286" t="s">
        <v>646</v>
      </c>
      <c r="C76" s="1022"/>
      <c r="D76" s="1392"/>
      <c r="E76" s="740"/>
      <c r="F76" s="1017">
        <v>1.0450318311186038</v>
      </c>
      <c r="G76" s="739">
        <f t="shared" si="24"/>
        <v>0.99445229049246331</v>
      </c>
      <c r="H76" s="739">
        <f t="shared" si="25"/>
        <v>1.0176936404614561</v>
      </c>
      <c r="I76" s="740"/>
      <c r="J76" s="741">
        <f t="shared" si="26"/>
        <v>0.96680895843838321</v>
      </c>
      <c r="K76" s="741">
        <f t="shared" si="27"/>
        <v>1.0685783224845289</v>
      </c>
      <c r="L76" s="1314">
        <v>1.0255617547308096</v>
      </c>
      <c r="M76" s="66" t="b">
        <f>IF(L76&gt;0,AND(L76&gt;=J76,L76&lt;=K76),"")</f>
        <v>1</v>
      </c>
      <c r="N76" s="734">
        <f t="shared" si="28"/>
        <v>1.0255617547308096</v>
      </c>
      <c r="P76" s="1134">
        <f t="shared" si="22"/>
        <v>-4.7563358314175998E-2</v>
      </c>
      <c r="Q76" s="1134">
        <f t="shared" si="22"/>
        <v>4.9215401915941745E-2</v>
      </c>
      <c r="R76" s="1134">
        <f t="shared" si="22"/>
        <v>0</v>
      </c>
      <c r="S76" s="1134">
        <f t="shared" si="22"/>
        <v>1.8540673274349863E-3</v>
      </c>
      <c r="T76" s="1134">
        <f t="shared" si="22"/>
        <v>4.2939847356874818E-2</v>
      </c>
      <c r="U76" s="1134">
        <f t="shared" si="22"/>
        <v>-5.6195633897561945E-3</v>
      </c>
      <c r="V76" s="1134">
        <f t="shared" si="22"/>
        <v>-2.1141431960557279E-4</v>
      </c>
      <c r="W76" s="1134">
        <f t="shared" si="22"/>
        <v>-1.7480257770041925E-2</v>
      </c>
      <c r="X76" s="1134">
        <f t="shared" si="22"/>
        <v>1.3792523888103124E-3</v>
      </c>
      <c r="Z76" s="735">
        <f t="shared" si="29"/>
        <v>1.0500757299262917</v>
      </c>
      <c r="AA76" s="1012"/>
      <c r="AB76" s="463">
        <f>IF('TAR_Tab 2_Volumina'!R79="storage",1,0)</f>
        <v>0</v>
      </c>
      <c r="AC76" s="736">
        <f t="shared" si="30"/>
        <v>1.0500757299262917</v>
      </c>
      <c r="AD76" s="736">
        <f t="shared" si="31"/>
        <v>1.1207365091876507</v>
      </c>
      <c r="AE76" s="1020"/>
      <c r="AF76" s="1019">
        <f t="shared" si="32"/>
        <v>1.1207365091876507</v>
      </c>
      <c r="AG76" s="737">
        <f t="shared" si="33"/>
        <v>1.121</v>
      </c>
      <c r="AH76" s="738">
        <f>AG76+'TAR_Tab 14_Overige tarieven'!$AA$14+'TAR_Tab 14_Overige tarieven'!$AA$15</f>
        <v>1.3009999999999999</v>
      </c>
      <c r="AI76" s="1315"/>
      <c r="AJ76" s="22"/>
    </row>
    <row r="77" spans="1:36">
      <c r="A77" s="644">
        <v>301461</v>
      </c>
      <c r="B77" s="1286" t="s">
        <v>1159</v>
      </c>
      <c r="C77" s="1022"/>
      <c r="D77" s="1392"/>
      <c r="E77" s="740"/>
      <c r="F77" s="1017">
        <v>1.0399465260387224</v>
      </c>
      <c r="G77" s="739">
        <f t="shared" si="24"/>
        <v>0.98961311417844822</v>
      </c>
      <c r="H77" s="739">
        <f t="shared" si="25"/>
        <v>1.0127413677311012</v>
      </c>
      <c r="I77" s="740"/>
      <c r="J77" s="741">
        <f t="shared" si="26"/>
        <v>0.96210429934454611</v>
      </c>
      <c r="K77" s="741">
        <f t="shared" si="27"/>
        <v>1.0633784361176564</v>
      </c>
      <c r="L77" s="1314">
        <v>1.0205711943997602</v>
      </c>
      <c r="M77" s="66" t="b">
        <f t="shared" ref="M77:M78" si="34">IF(L77&gt;0,AND(L77&gt;=J77,L77&lt;=K77),"")</f>
        <v>1</v>
      </c>
      <c r="N77" s="734">
        <f t="shared" si="28"/>
        <v>1.0205711943997602</v>
      </c>
      <c r="O77" s="101"/>
      <c r="P77" s="1134">
        <f t="shared" si="22"/>
        <v>-4.7331906811505134E-2</v>
      </c>
      <c r="Q77" s="1134">
        <f t="shared" si="22"/>
        <v>4.8975911284251002E-2</v>
      </c>
      <c r="R77" s="1134">
        <f t="shared" si="22"/>
        <v>0</v>
      </c>
      <c r="S77" s="1134">
        <f t="shared" si="22"/>
        <v>1.8450451161320497E-3</v>
      </c>
      <c r="T77" s="1134">
        <f t="shared" si="22"/>
        <v>4.2730894655731252E-2</v>
      </c>
      <c r="U77" s="1134">
        <f t="shared" si="22"/>
        <v>-5.5922176253481838E-3</v>
      </c>
      <c r="V77" s="1134">
        <f t="shared" si="22"/>
        <v>-2.10385541073249E-4</v>
      </c>
      <c r="W77" s="1134">
        <f t="shared" si="22"/>
        <v>-1.7395195821698708E-2</v>
      </c>
      <c r="X77" s="1134">
        <f t="shared" si="22"/>
        <v>1.3725407088687096E-3</v>
      </c>
      <c r="Z77" s="735">
        <f t="shared" si="29"/>
        <v>1.0449658803651178</v>
      </c>
      <c r="AA77" s="1012"/>
      <c r="AB77" s="463">
        <f>IF('TAR_Tab 2_Volumina'!R80="storage",1,0)</f>
        <v>0</v>
      </c>
      <c r="AC77" s="736">
        <f t="shared" si="30"/>
        <v>1.0449658803651178</v>
      </c>
      <c r="AD77" s="736">
        <f t="shared" ref="AD77:AD78" si="35">IF(AB77=0,AC77*(1+$AD$5),AC77)</f>
        <v>1.1152828120909031</v>
      </c>
      <c r="AE77" s="1020"/>
      <c r="AF77" s="1019">
        <f t="shared" si="32"/>
        <v>1.1152828120909031</v>
      </c>
      <c r="AG77" s="737">
        <f t="shared" si="33"/>
        <v>1.115</v>
      </c>
      <c r="AH77" s="738">
        <f>AG77+'TAR_Tab 14_Overige tarieven'!$AA$14+'TAR_Tab 14_Overige tarieven'!$AA$15</f>
        <v>1.2949999999999999</v>
      </c>
      <c r="AI77" s="1315"/>
      <c r="AJ77" s="22"/>
    </row>
    <row r="78" spans="1:36">
      <c r="A78" s="644">
        <v>301468</v>
      </c>
      <c r="B78" s="1286" t="s">
        <v>848</v>
      </c>
      <c r="C78" s="1022"/>
      <c r="D78" s="1392"/>
      <c r="E78" s="740"/>
      <c r="F78" s="1017">
        <v>1.0731957267955403</v>
      </c>
      <c r="G78" s="739">
        <f t="shared" si="24"/>
        <v>1.0212530536186362</v>
      </c>
      <c r="H78" s="739">
        <f t="shared" si="25"/>
        <v>1.0451207643705511</v>
      </c>
      <c r="I78" s="740"/>
      <c r="J78" s="741">
        <f t="shared" si="26"/>
        <v>0.99286472615202348</v>
      </c>
      <c r="K78" s="741">
        <f t="shared" si="27"/>
        <v>1.0973768025890787</v>
      </c>
      <c r="L78" s="1314">
        <v>1.0532009264865421</v>
      </c>
      <c r="M78" s="66" t="b">
        <f t="shared" si="34"/>
        <v>1</v>
      </c>
      <c r="N78" s="734">
        <f t="shared" si="28"/>
        <v>1.0532009264865421</v>
      </c>
      <c r="O78" s="101"/>
      <c r="P78" s="1134">
        <f t="shared" si="22"/>
        <v>-4.8845203920899131E-2</v>
      </c>
      <c r="Q78" s="1134">
        <f t="shared" si="22"/>
        <v>5.0541770552747209E-2</v>
      </c>
      <c r="R78" s="1134">
        <f t="shared" si="22"/>
        <v>0</v>
      </c>
      <c r="S78" s="1134">
        <f t="shared" si="22"/>
        <v>1.9040349525665597E-3</v>
      </c>
      <c r="T78" s="1134">
        <f t="shared" si="22"/>
        <v>4.4097088069866418E-2</v>
      </c>
      <c r="U78" s="1134">
        <f t="shared" si="22"/>
        <v>-5.7710121708805127E-3</v>
      </c>
      <c r="V78" s="1134">
        <f t="shared" si="22"/>
        <v>-2.1711199374781253E-4</v>
      </c>
      <c r="W78" s="1134">
        <f t="shared" si="22"/>
        <v>-1.7951355531451212E-2</v>
      </c>
      <c r="X78" s="1134">
        <f t="shared" si="22"/>
        <v>1.4164236205698652E-3</v>
      </c>
      <c r="Z78" s="735">
        <f t="shared" si="29"/>
        <v>1.0783755600653135</v>
      </c>
      <c r="AA78" s="1012"/>
      <c r="AB78" s="463">
        <f>IF('TAR_Tab 2_Volumina'!R81="storage",1,0)</f>
        <v>0</v>
      </c>
      <c r="AC78" s="736">
        <f t="shared" si="30"/>
        <v>1.0783755600653135</v>
      </c>
      <c r="AD78" s="736">
        <f t="shared" si="35"/>
        <v>1.1509406667895381</v>
      </c>
      <c r="AE78" s="1020"/>
      <c r="AF78" s="1019">
        <f t="shared" si="32"/>
        <v>1.1509406667895381</v>
      </c>
      <c r="AG78" s="737">
        <f t="shared" si="33"/>
        <v>1.151</v>
      </c>
      <c r="AH78" s="738">
        <f>AG78+'TAR_Tab 14_Overige tarieven'!$AA$14+'TAR_Tab 14_Overige tarieven'!$AA$15</f>
        <v>1.331</v>
      </c>
      <c r="AI78" s="1315"/>
      <c r="AJ78" s="22"/>
    </row>
  </sheetData>
  <mergeCells count="5">
    <mergeCell ref="AB3:AD3"/>
    <mergeCell ref="AF3:AH3"/>
    <mergeCell ref="F3:H3"/>
    <mergeCell ref="J3:N3"/>
    <mergeCell ref="P3:X3"/>
  </mergeCells>
  <phoneticPr fontId="21" type="noConversion"/>
  <conditionalFormatting sqref="F7:F78">
    <cfRule type="containsErrors" dxfId="12" priority="25">
      <formula>ISERROR(F7)</formula>
    </cfRule>
    <cfRule type="cellIs" dxfId="11" priority="26" operator="equal">
      <formula>#N/A</formula>
    </cfRule>
    <cfRule type="cellIs" dxfId="10" priority="27" operator="equal">
      <formula>#N/A</formula>
    </cfRule>
  </conditionalFormatting>
  <pageMargins left="0.75" right="0.75" top="1" bottom="1" header="0.5" footer="0.5"/>
  <pageSetup paperSize="9" scale="26" orientation="landscape" r:id="rId1"/>
  <headerFooter alignWithMargins="0">
    <oddFooter>&amp;LEnergiekamer NMa&amp;R&amp;F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K566"/>
  <sheetViews>
    <sheetView showGridLines="0" zoomScale="70" zoomScaleNormal="70" zoomScaleSheetLayoutView="70" workbookViewId="0">
      <pane ySplit="6" topLeftCell="A7" activePane="bottomLeft" state="frozen"/>
      <selection activeCell="C94" sqref="C94"/>
      <selection pane="bottomLeft"/>
    </sheetView>
  </sheetViews>
  <sheetFormatPr defaultRowHeight="12.75"/>
  <cols>
    <col min="1" max="1" width="8.7109375" bestFit="1" customWidth="1"/>
    <col min="2" max="2" width="51.28515625" bestFit="1" customWidth="1"/>
    <col min="3" max="3" width="1.5703125" style="101" customWidth="1"/>
    <col min="4" max="4" width="16.42578125" style="21" bestFit="1" customWidth="1"/>
    <col min="5" max="5" width="2.28515625" style="101" customWidth="1"/>
    <col min="6" max="6" width="23.42578125" style="101" customWidth="1"/>
    <col min="7" max="8" width="23.42578125" style="80" customWidth="1"/>
    <col min="9" max="9" width="1.7109375" customWidth="1"/>
    <col min="10" max="10" width="14.7109375" customWidth="1"/>
    <col min="11" max="11" width="12.85546875" customWidth="1"/>
    <col min="12" max="12" width="13.28515625" customWidth="1"/>
    <col min="13" max="13" width="14.28515625" customWidth="1"/>
    <col min="14" max="14" width="15" customWidth="1"/>
    <col min="15" max="15" width="1.7109375" customWidth="1"/>
    <col min="16" max="19" width="14.5703125" style="101" customWidth="1"/>
    <col min="20" max="20" width="15.5703125" style="101" customWidth="1"/>
    <col min="21" max="21" width="17.7109375" style="101" customWidth="1"/>
    <col min="22" max="24" width="14.5703125" style="101" customWidth="1"/>
    <col min="25" max="25" width="1.7109375" style="101" customWidth="1"/>
    <col min="26" max="26" width="14.85546875" customWidth="1"/>
    <col min="27" max="27" width="1.7109375" style="101" customWidth="1"/>
    <col min="28" max="28" width="17.28515625" style="80" customWidth="1"/>
    <col min="29" max="30" width="20.5703125" style="80" customWidth="1"/>
    <col min="31" max="31" width="1.7109375" style="101" customWidth="1"/>
    <col min="32" max="32" width="20.5703125" style="80" customWidth="1"/>
    <col min="33" max="33" width="16.85546875" style="80" bestFit="1" customWidth="1"/>
    <col min="34" max="34" width="20.140625" style="80" customWidth="1"/>
    <col min="35" max="35" width="1.7109375" style="101" customWidth="1"/>
  </cols>
  <sheetData>
    <row r="1" spans="1:37" s="11" customFormat="1" ht="23.25" customHeight="1">
      <c r="A1" s="9" t="s">
        <v>940</v>
      </c>
      <c r="B1" s="404"/>
      <c r="C1" s="803"/>
      <c r="D1" s="803"/>
      <c r="E1" s="803"/>
      <c r="F1" s="12"/>
      <c r="G1" s="234"/>
      <c r="H1" s="234"/>
      <c r="I1" s="12"/>
      <c r="J1" s="12"/>
      <c r="K1" s="12"/>
      <c r="L1" s="12"/>
      <c r="M1" s="12"/>
      <c r="N1" s="12"/>
      <c r="O1" s="12"/>
      <c r="P1" s="867"/>
      <c r="Q1" s="651"/>
      <c r="R1" s="651"/>
      <c r="S1" s="651"/>
      <c r="T1" s="651"/>
      <c r="U1" s="651"/>
      <c r="V1" s="651"/>
      <c r="W1" s="651"/>
      <c r="X1" s="651"/>
      <c r="Y1" s="799"/>
      <c r="Z1" s="473"/>
      <c r="AA1" s="959"/>
      <c r="AB1" s="473"/>
      <c r="AC1" s="473"/>
      <c r="AD1" s="473"/>
      <c r="AE1" s="959"/>
      <c r="AF1" s="473"/>
      <c r="AG1" s="473"/>
      <c r="AH1" s="611" t="s">
        <v>143</v>
      </c>
      <c r="AI1" s="767"/>
    </row>
    <row r="2" spans="1:37">
      <c r="C2" s="21"/>
      <c r="D2"/>
      <c r="E2" s="21"/>
      <c r="Z2" s="22"/>
      <c r="AB2" s="108"/>
      <c r="AC2" s="108"/>
      <c r="AD2" s="108"/>
      <c r="AF2" s="108"/>
      <c r="AG2" s="108"/>
      <c r="AH2" s="108"/>
    </row>
    <row r="3" spans="1:37" s="101" customFormat="1" ht="15" customHeight="1">
      <c r="A3" s="146" t="s">
        <v>144</v>
      </c>
      <c r="B3" s="146" t="s">
        <v>145</v>
      </c>
      <c r="C3" s="982"/>
      <c r="D3" s="146" t="s">
        <v>727</v>
      </c>
      <c r="E3" s="21"/>
      <c r="F3" s="1449" t="s">
        <v>1081</v>
      </c>
      <c r="G3" s="1449"/>
      <c r="H3" s="1449"/>
      <c r="I3" s="21"/>
      <c r="J3" s="1450" t="s">
        <v>977</v>
      </c>
      <c r="K3" s="1450"/>
      <c r="L3" s="1450"/>
      <c r="M3" s="1450"/>
      <c r="N3" s="1450"/>
      <c r="P3" s="1451" t="s">
        <v>967</v>
      </c>
      <c r="Q3" s="1451"/>
      <c r="R3" s="1451"/>
      <c r="S3" s="1451"/>
      <c r="T3" s="1451"/>
      <c r="U3" s="1451"/>
      <c r="V3" s="1451"/>
      <c r="W3" s="1451"/>
      <c r="X3" s="1451"/>
      <c r="Z3" s="424" t="s">
        <v>968</v>
      </c>
      <c r="AA3" s="1011"/>
      <c r="AB3" s="1448" t="s">
        <v>979</v>
      </c>
      <c r="AC3" s="1448"/>
      <c r="AD3" s="1448"/>
      <c r="AE3" s="1009"/>
      <c r="AF3" s="1448" t="s">
        <v>968</v>
      </c>
      <c r="AG3" s="1448"/>
      <c r="AH3" s="1448"/>
      <c r="AI3" s="1009"/>
    </row>
    <row r="4" spans="1:37" s="13" customFormat="1" ht="55.5" customHeight="1">
      <c r="A4" s="1006"/>
      <c r="B4" s="1006"/>
      <c r="C4" s="1021"/>
      <c r="D4" s="1005"/>
      <c r="E4" s="1007"/>
      <c r="F4" s="1005" t="s">
        <v>987</v>
      </c>
      <c r="G4" s="1005" t="s">
        <v>988</v>
      </c>
      <c r="H4" s="1005" t="s">
        <v>1058</v>
      </c>
      <c r="I4" s="1007"/>
      <c r="J4" s="1008" t="s">
        <v>135</v>
      </c>
      <c r="K4" s="1008" t="s">
        <v>136</v>
      </c>
      <c r="L4" s="1008" t="s">
        <v>133</v>
      </c>
      <c r="M4" s="1008" t="s">
        <v>134</v>
      </c>
      <c r="N4" s="1005" t="s">
        <v>980</v>
      </c>
      <c r="O4" s="980"/>
      <c r="P4" s="1005" t="s">
        <v>978</v>
      </c>
      <c r="Q4" s="1005" t="s">
        <v>960</v>
      </c>
      <c r="R4" s="1005" t="s">
        <v>961</v>
      </c>
      <c r="S4" s="1005" t="s">
        <v>962</v>
      </c>
      <c r="T4" s="1005" t="s">
        <v>963</v>
      </c>
      <c r="U4" s="1005" t="s">
        <v>964</v>
      </c>
      <c r="V4" s="1005" t="s">
        <v>965</v>
      </c>
      <c r="W4" s="1005" t="s">
        <v>966</v>
      </c>
      <c r="X4" s="1005" t="s">
        <v>551</v>
      </c>
      <c r="Y4" s="982"/>
      <c r="Z4" s="1005" t="s">
        <v>981</v>
      </c>
      <c r="AA4" s="1007"/>
      <c r="AB4" s="1005" t="s">
        <v>552</v>
      </c>
      <c r="AC4" s="1005" t="s">
        <v>982</v>
      </c>
      <c r="AD4" s="1005" t="s">
        <v>983</v>
      </c>
      <c r="AE4" s="1007"/>
      <c r="AF4" s="1018" t="s">
        <v>984</v>
      </c>
      <c r="AG4" s="1018" t="s">
        <v>985</v>
      </c>
      <c r="AH4" s="1005" t="s">
        <v>986</v>
      </c>
      <c r="AI4" s="1007"/>
    </row>
    <row r="5" spans="1:37" s="13" customFormat="1" ht="15">
      <c r="A5" s="17"/>
      <c r="B5" s="17"/>
      <c r="C5" s="17"/>
      <c r="D5" s="776">
        <v>337956643.85998154</v>
      </c>
      <c r="E5" s="18"/>
      <c r="F5" s="88"/>
      <c r="G5" s="1038">
        <f>Parameters!B65-Parameters!B18</f>
        <v>0.9516</v>
      </c>
      <c r="H5" s="778">
        <f>TAR_Tab_3_Tariefaanpassing!D24</f>
        <v>1.0233710055185086</v>
      </c>
      <c r="I5" s="18"/>
      <c r="J5" s="997">
        <v>0.95</v>
      </c>
      <c r="K5" s="997">
        <v>1.05</v>
      </c>
      <c r="L5" s="998"/>
      <c r="M5" s="998"/>
      <c r="N5" s="18"/>
      <c r="O5" s="18"/>
      <c r="P5" s="1013">
        <f>'TAR_Tab_4_Cor. verdeelsleutel'!B23</f>
        <v>-4.6377858861030241E-2</v>
      </c>
      <c r="Q5" s="1014">
        <f>'TAR_Tab 5_UI'!B224</f>
        <v>4.798872587527394E-2</v>
      </c>
      <c r="R5" s="1014">
        <f>'TAR_Tab 6_NPD'!B35</f>
        <v>0</v>
      </c>
      <c r="S5" s="1014">
        <f>'TAR_Tab 7_MFA '!B51</f>
        <v>1.8078553718314542E-3</v>
      </c>
      <c r="T5" s="1015">
        <f>'TAR-Tab_8_Nacalculaties 14-16'!B14</f>
        <v>4.1869587237236348E-2</v>
      </c>
      <c r="U5" s="1015">
        <f>'TAR-Tab_8_Nacalculaties 14-16'!B22</f>
        <v>-5.4794978106717943E-3</v>
      </c>
      <c r="V5" s="1015">
        <f>'TAR-Tab_8_Nacalculaties 14-16'!B34</f>
        <v>-2.0614489437651174E-4</v>
      </c>
      <c r="W5" s="1015">
        <f>'TAR-Tab_8_Nacalculaties 14-16'!B49</f>
        <v>-1.704456868580299E-2</v>
      </c>
      <c r="X5" s="1015">
        <f>'TAR-Tab 10_incidenteel'!D44</f>
        <v>1.3448750233205995E-3</v>
      </c>
      <c r="Y5" s="18"/>
      <c r="Z5" s="18"/>
      <c r="AA5" s="18"/>
      <c r="AB5" s="464"/>
      <c r="AC5" s="779">
        <v>0.75</v>
      </c>
      <c r="AD5" s="677">
        <f>'TAR_Tab 12_Exittarieven'!AD564</f>
        <v>6.729112696121331E-2</v>
      </c>
      <c r="AE5" s="1010"/>
      <c r="AF5" s="1010"/>
      <c r="AG5" s="38"/>
      <c r="AH5" s="38"/>
      <c r="AI5" s="1010"/>
    </row>
    <row r="6" spans="1:37" s="13" customFormat="1" ht="17.25" customHeight="1">
      <c r="A6" s="1030"/>
      <c r="B6" s="1030"/>
      <c r="C6" s="1031"/>
      <c r="D6" s="1008" t="s">
        <v>621</v>
      </c>
      <c r="E6" s="1023"/>
      <c r="F6" s="1008" t="s">
        <v>624</v>
      </c>
      <c r="G6" s="1008" t="s">
        <v>624</v>
      </c>
      <c r="H6" s="1008" t="s">
        <v>624</v>
      </c>
      <c r="I6" s="1023"/>
      <c r="J6" s="1008" t="s">
        <v>624</v>
      </c>
      <c r="K6" s="1008" t="s">
        <v>624</v>
      </c>
      <c r="L6" s="1008" t="s">
        <v>624</v>
      </c>
      <c r="M6" s="1024"/>
      <c r="N6" s="1008" t="s">
        <v>624</v>
      </c>
      <c r="O6" s="1023"/>
      <c r="P6" s="1008" t="s">
        <v>624</v>
      </c>
      <c r="Q6" s="1008" t="s">
        <v>624</v>
      </c>
      <c r="R6" s="1008" t="s">
        <v>624</v>
      </c>
      <c r="S6" s="1008" t="s">
        <v>624</v>
      </c>
      <c r="T6" s="1008" t="s">
        <v>624</v>
      </c>
      <c r="U6" s="1008" t="s">
        <v>624</v>
      </c>
      <c r="V6" s="1008" t="s">
        <v>624</v>
      </c>
      <c r="W6" s="1008" t="s">
        <v>624</v>
      </c>
      <c r="X6" s="1008" t="s">
        <v>624</v>
      </c>
      <c r="Y6" s="1023"/>
      <c r="Z6" s="1008" t="s">
        <v>624</v>
      </c>
      <c r="AA6" s="1025"/>
      <c r="AB6" s="1026" t="s">
        <v>577</v>
      </c>
      <c r="AC6" s="1008" t="s">
        <v>624</v>
      </c>
      <c r="AD6" s="1008" t="s">
        <v>624</v>
      </c>
      <c r="AE6" s="1025"/>
      <c r="AF6" s="1008" t="s">
        <v>624</v>
      </c>
      <c r="AG6" s="1008" t="s">
        <v>624</v>
      </c>
      <c r="AH6" s="1008" t="s">
        <v>624</v>
      </c>
      <c r="AI6" s="1025"/>
    </row>
    <row r="7" spans="1:37">
      <c r="A7" s="96">
        <v>300001</v>
      </c>
      <c r="B7" s="1286" t="s">
        <v>729</v>
      </c>
      <c r="C7" s="1022"/>
      <c r="D7" s="1358"/>
      <c r="E7" s="1022"/>
      <c r="F7" s="1032">
        <v>1.8078440030422742</v>
      </c>
      <c r="G7" s="390">
        <f t="shared" ref="G7:G70" si="0">F7*$G$5</f>
        <v>1.7203443532950282</v>
      </c>
      <c r="H7" s="390">
        <f t="shared" ref="H7:H70" si="1">G7*$H$5</f>
        <v>1.7605505306696214</v>
      </c>
      <c r="I7" s="387"/>
      <c r="J7" s="388">
        <f t="shared" ref="J7:J70" si="2">H7*$J$5</f>
        <v>1.6725230041361403</v>
      </c>
      <c r="K7" s="388">
        <f t="shared" ref="K7:K70" si="3">H7*$K$5</f>
        <v>1.8485780572031025</v>
      </c>
      <c r="L7" s="1316">
        <v>1.6725230041361403</v>
      </c>
      <c r="M7" s="61" t="b">
        <f>IF(L7&gt;0,AND(L7&gt;=J7,L7&lt;=K7),"")</f>
        <v>1</v>
      </c>
      <c r="N7" s="857">
        <f t="shared" ref="N7:N70" si="4">IF(L7&gt;0,L7,H7)</f>
        <v>1.6725230041361403</v>
      </c>
      <c r="O7" s="15"/>
      <c r="P7" s="445">
        <f t="shared" ref="P7:Q9" si="5">$N7*P$5</f>
        <v>-7.7568035827652218E-2</v>
      </c>
      <c r="Q7" s="445">
        <f t="shared" si="5"/>
        <v>8.0262247965578903E-2</v>
      </c>
      <c r="R7" s="445">
        <f t="shared" ref="R7:X22" si="6">$N7*R$5</f>
        <v>0</v>
      </c>
      <c r="S7" s="445">
        <f t="shared" si="6"/>
        <v>3.0236796975392027E-3</v>
      </c>
      <c r="T7" s="445">
        <f>$N7*T$5</f>
        <v>7.002784782796273E-2</v>
      </c>
      <c r="U7" s="445">
        <f>$N7*U$5</f>
        <v>-9.1645861394621924E-3</v>
      </c>
      <c r="V7" s="445">
        <f>$N7*V$5</f>
        <v>-3.4478207802993074E-4</v>
      </c>
      <c r="W7" s="445">
        <f t="shared" si="6"/>
        <v>-2.8507433222584002E-2</v>
      </c>
      <c r="X7" s="445">
        <f t="shared" si="6"/>
        <v>2.249334414191831E-3</v>
      </c>
      <c r="Y7" s="43"/>
      <c r="Z7" s="388">
        <f>N7+SUM(P7:X7)</f>
        <v>1.7125012767736847</v>
      </c>
      <c r="AA7" s="43"/>
      <c r="AB7" s="462">
        <f>IF('TAR_Tab 2_Volumina'!C10="storage",1,0)</f>
        <v>0</v>
      </c>
      <c r="AC7" s="389">
        <f t="shared" ref="AC7:AC70" si="7">IF(AB7=1,Z7*$AC$5,Z7)</f>
        <v>1.7125012767736847</v>
      </c>
      <c r="AD7" s="389">
        <f>IF(AB7=0,AC7*(1+$AD$5),AC7)</f>
        <v>1.8277374176103025</v>
      </c>
      <c r="AE7" s="43"/>
      <c r="AF7" s="1027">
        <f>AD7</f>
        <v>1.8277374176103025</v>
      </c>
      <c r="AG7" s="392">
        <f>ROUND(AD7,3)</f>
        <v>1.8280000000000001</v>
      </c>
      <c r="AH7" s="392">
        <f>AG7+'TAR_Tab 14_Overige tarieven'!$AA$14+'TAR_Tab 14_Overige tarieven'!$AA$15</f>
        <v>2.008</v>
      </c>
      <c r="AI7" s="43"/>
    </row>
    <row r="8" spans="1:37">
      <c r="A8" s="96">
        <v>300002</v>
      </c>
      <c r="B8" s="1286" t="s">
        <v>730</v>
      </c>
      <c r="C8" s="1022"/>
      <c r="D8" s="1358"/>
      <c r="E8" s="1022"/>
      <c r="F8" s="1032">
        <v>1.8988361514254857</v>
      </c>
      <c r="G8" s="390">
        <f t="shared" si="0"/>
        <v>1.8069324816964922</v>
      </c>
      <c r="H8" s="390">
        <f t="shared" si="1"/>
        <v>1.8491623106977932</v>
      </c>
      <c r="I8" s="387"/>
      <c r="J8" s="388">
        <f t="shared" si="2"/>
        <v>1.7567041951629034</v>
      </c>
      <c r="K8" s="388">
        <f t="shared" si="3"/>
        <v>1.941620426232683</v>
      </c>
      <c r="L8" s="1316">
        <v>1.8634587745693321</v>
      </c>
      <c r="M8" s="61" t="b">
        <f t="shared" ref="M8:M61" si="8">IF(L8&gt;0,AND(L8&gt;=J8,L8&lt;=K8),"")</f>
        <v>1</v>
      </c>
      <c r="N8" s="857">
        <f t="shared" si="4"/>
        <v>1.8634587745693321</v>
      </c>
      <c r="O8" s="15"/>
      <c r="P8" s="445">
        <f t="shared" si="5"/>
        <v>-8.6423228040324845E-2</v>
      </c>
      <c r="Q8" s="445">
        <f t="shared" si="5"/>
        <v>8.9425012312681573E-2</v>
      </c>
      <c r="R8" s="445">
        <f t="shared" si="6"/>
        <v>0</v>
      </c>
      <c r="S8" s="445">
        <f t="shared" si="6"/>
        <v>3.3688639557916257E-3</v>
      </c>
      <c r="T8" s="445">
        <f t="shared" si="6"/>
        <v>7.8022249724824189E-2</v>
      </c>
      <c r="U8" s="445">
        <f t="shared" si="6"/>
        <v>-1.02108182755298E-2</v>
      </c>
      <c r="V8" s="445">
        <f t="shared" si="6"/>
        <v>-3.8414251225857895E-4</v>
      </c>
      <c r="W8" s="445">
        <f t="shared" si="6"/>
        <v>-3.1761851076309251E-2</v>
      </c>
      <c r="X8" s="445">
        <f t="shared" si="6"/>
        <v>2.5061191629059064E-3</v>
      </c>
      <c r="Y8" s="43"/>
      <c r="Z8" s="388">
        <f t="shared" ref="Z8:Z71" si="9">N8+SUM(P8:X8)</f>
        <v>1.9080009798211128</v>
      </c>
      <c r="AA8" s="43"/>
      <c r="AB8" s="462">
        <f>IF('TAR_Tab 2_Volumina'!C11="storage",1,0)</f>
        <v>0</v>
      </c>
      <c r="AC8" s="389">
        <f t="shared" si="7"/>
        <v>1.9080009798211128</v>
      </c>
      <c r="AD8" s="389">
        <f t="shared" ref="AD8:AD71" si="10">IF(AB8=0,AC8*(1+$AD$5),AC8)</f>
        <v>2.0363925159963747</v>
      </c>
      <c r="AE8" s="43"/>
      <c r="AF8" s="1027">
        <f t="shared" ref="AF8:AF71" si="11">AD8</f>
        <v>2.0363925159963747</v>
      </c>
      <c r="AG8" s="392">
        <f t="shared" ref="AG8:AG71" si="12">ROUND(AD8,3)</f>
        <v>2.036</v>
      </c>
      <c r="AH8" s="392">
        <f>AG8+'TAR_Tab 14_Overige tarieven'!$AA$14+'TAR_Tab 14_Overige tarieven'!$AA$15</f>
        <v>2.2160000000000002</v>
      </c>
      <c r="AI8" s="43"/>
      <c r="AK8" s="80" t="s">
        <v>513</v>
      </c>
    </row>
    <row r="9" spans="1:37">
      <c r="A9" s="96">
        <v>300003</v>
      </c>
      <c r="B9" s="1286" t="s">
        <v>731</v>
      </c>
      <c r="C9" s="1022"/>
      <c r="D9" s="1358"/>
      <c r="E9" s="1022"/>
      <c r="F9" s="1032">
        <v>2.0796535645563718</v>
      </c>
      <c r="G9" s="390">
        <f t="shared" si="0"/>
        <v>1.9789983320318434</v>
      </c>
      <c r="H9" s="390">
        <f t="shared" si="1"/>
        <v>2.0252495129708787</v>
      </c>
      <c r="I9" s="387"/>
      <c r="J9" s="388">
        <f t="shared" si="2"/>
        <v>1.9239870373223347</v>
      </c>
      <c r="K9" s="388">
        <f t="shared" si="3"/>
        <v>2.1265119886194226</v>
      </c>
      <c r="L9" s="1316">
        <v>2.0409073631906973</v>
      </c>
      <c r="M9" s="61" t="b">
        <f t="shared" si="8"/>
        <v>1</v>
      </c>
      <c r="N9" s="857">
        <f t="shared" si="4"/>
        <v>2.0409073631906973</v>
      </c>
      <c r="O9" s="15"/>
      <c r="P9" s="445">
        <f t="shared" si="5"/>
        <v>-9.4652913638495539E-2</v>
      </c>
      <c r="Q9" s="445">
        <f t="shared" si="5"/>
        <v>9.7940543988986523E-2</v>
      </c>
      <c r="R9" s="445">
        <f t="shared" si="6"/>
        <v>0</v>
      </c>
      <c r="S9" s="445">
        <f t="shared" si="6"/>
        <v>3.6896653399546707E-3</v>
      </c>
      <c r="T9" s="445">
        <f t="shared" si="6"/>
        <v>8.5451948886230908E-2</v>
      </c>
      <c r="U9" s="445">
        <f t="shared" si="6"/>
        <v>-1.118314742838737E-2</v>
      </c>
      <c r="V9" s="445">
        <f t="shared" si="6"/>
        <v>-4.2072263281719139E-4</v>
      </c>
      <c r="W9" s="445">
        <f t="shared" si="6"/>
        <v>-3.478638573326491E-2</v>
      </c>
      <c r="X9" s="445">
        <f t="shared" si="6"/>
        <v>2.7447653376662723E-3</v>
      </c>
      <c r="Y9" s="43"/>
      <c r="Z9" s="388">
        <f t="shared" si="9"/>
        <v>2.0896911173105708</v>
      </c>
      <c r="AA9" s="43"/>
      <c r="AB9" s="462">
        <f>IF('TAR_Tab 2_Volumina'!C12="storage",1,0)</f>
        <v>0</v>
      </c>
      <c r="AC9" s="389">
        <f t="shared" si="7"/>
        <v>2.0896911173105708</v>
      </c>
      <c r="AD9" s="389">
        <f t="shared" si="10"/>
        <v>2.2303087875952361</v>
      </c>
      <c r="AE9" s="43"/>
      <c r="AF9" s="1027">
        <f t="shared" si="11"/>
        <v>2.2303087875952361</v>
      </c>
      <c r="AG9" s="392">
        <f t="shared" si="12"/>
        <v>2.23</v>
      </c>
      <c r="AH9" s="392">
        <f>AG9+'TAR_Tab 14_Overige tarieven'!$AA$14+'TAR_Tab 14_Overige tarieven'!$AA$15</f>
        <v>2.41</v>
      </c>
      <c r="AI9" s="43"/>
    </row>
    <row r="10" spans="1:37">
      <c r="A10" s="96">
        <v>300005</v>
      </c>
      <c r="B10" s="1286" t="s">
        <v>732</v>
      </c>
      <c r="C10" s="1022"/>
      <c r="D10" s="1358"/>
      <c r="E10" s="1022"/>
      <c r="F10" s="1032">
        <v>2.98374253599455</v>
      </c>
      <c r="G10" s="390">
        <f t="shared" si="0"/>
        <v>2.8393293972524138</v>
      </c>
      <c r="H10" s="390">
        <f t="shared" si="1"/>
        <v>2.9056873802644638</v>
      </c>
      <c r="I10" s="387"/>
      <c r="J10" s="388">
        <f t="shared" si="2"/>
        <v>2.7604030112512405</v>
      </c>
      <c r="K10" s="388">
        <f t="shared" si="3"/>
        <v>3.0509717492776871</v>
      </c>
      <c r="L10" s="1316">
        <v>2.928152176574454</v>
      </c>
      <c r="M10" s="61" t="b">
        <f t="shared" si="8"/>
        <v>1</v>
      </c>
      <c r="N10" s="857">
        <f t="shared" si="4"/>
        <v>2.928152176574454</v>
      </c>
      <c r="O10" s="15"/>
      <c r="P10" s="445">
        <f t="shared" ref="P10:P73" si="13">$N10*P$5</f>
        <v>-0.13580142836878853</v>
      </c>
      <c r="Q10" s="445">
        <f t="shared" ref="Q10:X52" si="14">$N10*Q$5</f>
        <v>0.14051829212271821</v>
      </c>
      <c r="R10" s="445">
        <f t="shared" si="6"/>
        <v>0</v>
      </c>
      <c r="S10" s="445">
        <f t="shared" si="6"/>
        <v>5.2936756419600913E-3</v>
      </c>
      <c r="T10" s="445">
        <f t="shared" si="6"/>
        <v>0.1226005230009876</v>
      </c>
      <c r="U10" s="445">
        <f t="shared" si="6"/>
        <v>-1.6044803440853569E-2</v>
      </c>
      <c r="V10" s="445">
        <f t="shared" si="6"/>
        <v>-6.0362362115829382E-4</v>
      </c>
      <c r="W10" s="445">
        <f t="shared" si="6"/>
        <v>-4.990909089610681E-2</v>
      </c>
      <c r="X10" s="445">
        <f t="shared" si="6"/>
        <v>3.9379987267568334E-3</v>
      </c>
      <c r="Y10" s="43"/>
      <c r="Z10" s="388">
        <f t="shared" si="9"/>
        <v>2.9981437197399696</v>
      </c>
      <c r="AA10" s="43"/>
      <c r="AB10" s="462">
        <f>IF('TAR_Tab 2_Volumina'!C13="storage",1,0)</f>
        <v>0</v>
      </c>
      <c r="AC10" s="389">
        <f t="shared" si="7"/>
        <v>2.9981437197399696</v>
      </c>
      <c r="AD10" s="389">
        <f t="shared" si="10"/>
        <v>3.1998921894329562</v>
      </c>
      <c r="AE10" s="43"/>
      <c r="AF10" s="1027">
        <f t="shared" si="11"/>
        <v>3.1998921894329562</v>
      </c>
      <c r="AG10" s="392">
        <f t="shared" si="12"/>
        <v>3.2</v>
      </c>
      <c r="AH10" s="392">
        <f>AG10+'TAR_Tab 14_Overige tarieven'!$AA$14+'TAR_Tab 14_Overige tarieven'!$AA$15</f>
        <v>3.3800000000000003</v>
      </c>
      <c r="AI10" s="43"/>
    </row>
    <row r="11" spans="1:37">
      <c r="A11" s="96">
        <v>300009</v>
      </c>
      <c r="B11" s="1286" t="s">
        <v>733</v>
      </c>
      <c r="C11" s="1022"/>
      <c r="D11" s="1358"/>
      <c r="E11" s="1022"/>
      <c r="F11" s="1032">
        <v>2.1198170832132859</v>
      </c>
      <c r="G11" s="390">
        <f t="shared" si="0"/>
        <v>2.0172179363857627</v>
      </c>
      <c r="H11" s="390">
        <f t="shared" si="1"/>
        <v>2.0643623479090687</v>
      </c>
      <c r="I11" s="387"/>
      <c r="J11" s="388">
        <f t="shared" si="2"/>
        <v>1.9611442305136151</v>
      </c>
      <c r="K11" s="388">
        <f t="shared" si="3"/>
        <v>2.1675804653045221</v>
      </c>
      <c r="L11" s="1316">
        <v>2.0803225919362736</v>
      </c>
      <c r="M11" s="61" t="b">
        <f t="shared" si="8"/>
        <v>1</v>
      </c>
      <c r="N11" s="857">
        <f t="shared" si="4"/>
        <v>2.0803225919362736</v>
      </c>
      <c r="O11" s="15"/>
      <c r="P11" s="445">
        <f t="shared" si="13"/>
        <v>-9.6480907554233108E-2</v>
      </c>
      <c r="Q11" s="445">
        <f t="shared" si="14"/>
        <v>9.9832030596569199E-2</v>
      </c>
      <c r="R11" s="445">
        <f t="shared" si="6"/>
        <v>0</v>
      </c>
      <c r="S11" s="445">
        <f t="shared" si="6"/>
        <v>3.7609223729743266E-3</v>
      </c>
      <c r="T11" s="445">
        <f t="shared" si="6"/>
        <v>8.7102248244669445E-2</v>
      </c>
      <c r="U11" s="445">
        <f t="shared" si="6"/>
        <v>-1.1399123088005883E-2</v>
      </c>
      <c r="V11" s="445">
        <f t="shared" si="6"/>
        <v>-4.2884788098377426E-4</v>
      </c>
      <c r="W11" s="445">
        <f t="shared" si="6"/>
        <v>-3.5458201306885519E-2</v>
      </c>
      <c r="X11" s="445">
        <f t="shared" si="6"/>
        <v>2.797773894344666E-3</v>
      </c>
      <c r="Y11" s="43"/>
      <c r="Z11" s="388">
        <f t="shared" si="9"/>
        <v>2.1300484872147227</v>
      </c>
      <c r="AA11" s="43"/>
      <c r="AB11" s="462">
        <f>IF('TAR_Tab 2_Volumina'!C14="storage",1,0)</f>
        <v>0</v>
      </c>
      <c r="AC11" s="389">
        <f t="shared" si="7"/>
        <v>2.1300484872147227</v>
      </c>
      <c r="AD11" s="389">
        <f t="shared" si="10"/>
        <v>2.2733818504014289</v>
      </c>
      <c r="AE11" s="43"/>
      <c r="AF11" s="1027">
        <f t="shared" si="11"/>
        <v>2.2733818504014289</v>
      </c>
      <c r="AG11" s="392">
        <f t="shared" si="12"/>
        <v>2.2730000000000001</v>
      </c>
      <c r="AH11" s="392">
        <f>AG11+'TAR_Tab 14_Overige tarieven'!$AA$14+'TAR_Tab 14_Overige tarieven'!$AA$15</f>
        <v>2.4530000000000003</v>
      </c>
      <c r="AI11" s="43"/>
    </row>
    <row r="12" spans="1:37">
      <c r="A12" s="96">
        <v>300011</v>
      </c>
      <c r="B12" s="1286" t="s">
        <v>734</v>
      </c>
      <c r="C12" s="1022"/>
      <c r="D12" s="1358"/>
      <c r="E12" s="1022"/>
      <c r="F12" s="1032">
        <v>2.3577965482155325</v>
      </c>
      <c r="G12" s="390">
        <f t="shared" si="0"/>
        <v>2.2436791952819006</v>
      </c>
      <c r="H12" s="390">
        <f t="shared" si="1"/>
        <v>2.2961162341365968</v>
      </c>
      <c r="I12" s="387"/>
      <c r="J12" s="388">
        <f t="shared" si="2"/>
        <v>2.181310422429767</v>
      </c>
      <c r="K12" s="388">
        <f t="shared" si="3"/>
        <v>2.4109220458434266</v>
      </c>
      <c r="L12" s="1316">
        <v>2.3138682414083656</v>
      </c>
      <c r="M12" s="61" t="b">
        <f t="shared" si="8"/>
        <v>1</v>
      </c>
      <c r="N12" s="857">
        <f t="shared" si="4"/>
        <v>2.3138682414083656</v>
      </c>
      <c r="O12" s="15"/>
      <c r="P12" s="445">
        <f t="shared" si="13"/>
        <v>-0.10731225472305743</v>
      </c>
      <c r="Q12" s="445">
        <f t="shared" si="14"/>
        <v>0.11103958874844824</v>
      </c>
      <c r="R12" s="445">
        <f t="shared" si="6"/>
        <v>0</v>
      </c>
      <c r="S12" s="445">
        <f t="shared" si="6"/>
        <v>4.1831391299403135E-3</v>
      </c>
      <c r="T12" s="445">
        <f t="shared" si="6"/>
        <v>9.6880708189118217E-2</v>
      </c>
      <c r="U12" s="445">
        <f t="shared" si="6"/>
        <v>-1.2678835962980134E-2</v>
      </c>
      <c r="V12" s="445">
        <f t="shared" si="6"/>
        <v>-4.7699212422629248E-4</v>
      </c>
      <c r="W12" s="445">
        <f t="shared" si="6"/>
        <v>-3.9438886170583061E-2</v>
      </c>
      <c r="X12" s="445">
        <f t="shared" si="6"/>
        <v>3.1118636051248702E-3</v>
      </c>
      <c r="Y12" s="43"/>
      <c r="Z12" s="388">
        <f t="shared" si="9"/>
        <v>2.3691765721001503</v>
      </c>
      <c r="AA12" s="43"/>
      <c r="AB12" s="462">
        <f>IF('TAR_Tab 2_Volumina'!C15="storage",1,0)</f>
        <v>0</v>
      </c>
      <c r="AC12" s="389">
        <f t="shared" si="7"/>
        <v>2.3691765721001503</v>
      </c>
      <c r="AD12" s="389">
        <f t="shared" si="10"/>
        <v>2.5286011336068737</v>
      </c>
      <c r="AE12" s="43"/>
      <c r="AF12" s="1027">
        <f t="shared" si="11"/>
        <v>2.5286011336068737</v>
      </c>
      <c r="AG12" s="392">
        <f t="shared" si="12"/>
        <v>2.5289999999999999</v>
      </c>
      <c r="AH12" s="392">
        <f>AG12+'TAR_Tab 14_Overige tarieven'!$AA$14+'TAR_Tab 14_Overige tarieven'!$AA$15</f>
        <v>2.7090000000000001</v>
      </c>
      <c r="AI12" s="43"/>
    </row>
    <row r="13" spans="1:37">
      <c r="A13" s="96">
        <v>300012</v>
      </c>
      <c r="B13" s="1286" t="s">
        <v>735</v>
      </c>
      <c r="C13" s="1022"/>
      <c r="D13" s="1358"/>
      <c r="E13" s="1022"/>
      <c r="F13" s="1032">
        <v>2.5397808449819554</v>
      </c>
      <c r="G13" s="390">
        <f t="shared" si="0"/>
        <v>2.4168554520848287</v>
      </c>
      <c r="H13" s="390">
        <f t="shared" si="1"/>
        <v>2.4733397941929409</v>
      </c>
      <c r="I13" s="387"/>
      <c r="J13" s="388">
        <f t="shared" si="2"/>
        <v>2.3496728044832937</v>
      </c>
      <c r="K13" s="388">
        <f t="shared" si="3"/>
        <v>2.5970067839025881</v>
      </c>
      <c r="L13" s="1316">
        <v>2.492461973357611</v>
      </c>
      <c r="M13" s="61" t="b">
        <f t="shared" si="8"/>
        <v>1</v>
      </c>
      <c r="N13" s="857">
        <f t="shared" si="4"/>
        <v>2.492461973357611</v>
      </c>
      <c r="O13" s="15"/>
      <c r="P13" s="445">
        <f t="shared" si="13"/>
        <v>-0.1155950496168642</v>
      </c>
      <c r="Q13" s="445">
        <f t="shared" si="14"/>
        <v>0.11961007439400273</v>
      </c>
      <c r="R13" s="445">
        <f t="shared" si="6"/>
        <v>0</v>
      </c>
      <c r="S13" s="445">
        <f t="shared" si="6"/>
        <v>4.506010767620184E-3</v>
      </c>
      <c r="T13" s="445">
        <f t="shared" si="6"/>
        <v>0.10435835402899075</v>
      </c>
      <c r="U13" s="445">
        <f t="shared" si="6"/>
        <v>-1.365743992619573E-2</v>
      </c>
      <c r="V13" s="445">
        <f t="shared" si="6"/>
        <v>-5.1380831023527674E-4</v>
      </c>
      <c r="W13" s="445">
        <f t="shared" si="6"/>
        <v>-4.2482939301645865E-2</v>
      </c>
      <c r="X13" s="445">
        <f t="shared" si="6"/>
        <v>3.3520498545450248E-3</v>
      </c>
      <c r="Y13" s="43"/>
      <c r="Z13" s="388">
        <f t="shared" si="9"/>
        <v>2.5520392252478286</v>
      </c>
      <c r="AA13" s="43"/>
      <c r="AB13" s="462">
        <f>IF('TAR_Tab 2_Volumina'!C16="storage",1,0)</f>
        <v>0</v>
      </c>
      <c r="AC13" s="389">
        <f t="shared" si="7"/>
        <v>2.5520392252478286</v>
      </c>
      <c r="AD13" s="389">
        <f t="shared" si="10"/>
        <v>2.7237688207639765</v>
      </c>
      <c r="AE13" s="43"/>
      <c r="AF13" s="1027">
        <f t="shared" si="11"/>
        <v>2.7237688207639765</v>
      </c>
      <c r="AG13" s="392">
        <f t="shared" si="12"/>
        <v>2.7240000000000002</v>
      </c>
      <c r="AH13" s="392">
        <f>AG13+'TAR_Tab 14_Overige tarieven'!$AA$14+'TAR_Tab 14_Overige tarieven'!$AA$15</f>
        <v>2.9040000000000004</v>
      </c>
      <c r="AI13" s="43"/>
    </row>
    <row r="14" spans="1:37">
      <c r="A14" s="96">
        <v>300016</v>
      </c>
      <c r="B14" s="1286" t="s">
        <v>50</v>
      </c>
      <c r="C14" s="1022"/>
      <c r="D14" s="1358"/>
      <c r="E14" s="1022"/>
      <c r="F14" s="1032">
        <v>1.8862386852588935</v>
      </c>
      <c r="G14" s="390">
        <f t="shared" si="0"/>
        <v>1.7949447328923631</v>
      </c>
      <c r="H14" s="390">
        <f t="shared" si="1"/>
        <v>1.8368943961502084</v>
      </c>
      <c r="I14" s="387"/>
      <c r="J14" s="388">
        <f t="shared" si="2"/>
        <v>1.7450496763426979</v>
      </c>
      <c r="K14" s="388">
        <f t="shared" si="3"/>
        <v>1.928739115957719</v>
      </c>
      <c r="L14" s="1316">
        <v>1.8510960128598219</v>
      </c>
      <c r="M14" s="61" t="b">
        <f t="shared" si="8"/>
        <v>1</v>
      </c>
      <c r="N14" s="857">
        <f t="shared" si="4"/>
        <v>1.8510960128598219</v>
      </c>
      <c r="O14" s="15"/>
      <c r="P14" s="445">
        <f t="shared" si="13"/>
        <v>-8.5849869622628638E-2</v>
      </c>
      <c r="Q14" s="445">
        <f t="shared" si="14"/>
        <v>8.8831739129942563E-2</v>
      </c>
      <c r="R14" s="445">
        <f t="shared" si="6"/>
        <v>0</v>
      </c>
      <c r="S14" s="445">
        <f t="shared" si="6"/>
        <v>3.3465138706244156E-3</v>
      </c>
      <c r="T14" s="445">
        <f t="shared" si="6"/>
        <v>7.7504625994934698E-2</v>
      </c>
      <c r="U14" s="445">
        <f t="shared" si="6"/>
        <v>-1.0143076549808682E-2</v>
      </c>
      <c r="V14" s="445">
        <f t="shared" si="6"/>
        <v>-3.8159399205177E-4</v>
      </c>
      <c r="W14" s="445">
        <f t="shared" si="6"/>
        <v>-3.1551133135205293E-2</v>
      </c>
      <c r="X14" s="445">
        <f t="shared" si="6"/>
        <v>2.4894927934635217E-3</v>
      </c>
      <c r="Y14" s="43"/>
      <c r="Z14" s="388">
        <f t="shared" si="9"/>
        <v>1.8953427113490928</v>
      </c>
      <c r="AA14" s="43"/>
      <c r="AB14" s="462">
        <f>IF('TAR_Tab 2_Volumina'!C17="storage",1,0)</f>
        <v>0</v>
      </c>
      <c r="AC14" s="389">
        <f t="shared" si="7"/>
        <v>1.8953427113490928</v>
      </c>
      <c r="AD14" s="389">
        <f t="shared" si="10"/>
        <v>2.0228824583734948</v>
      </c>
      <c r="AE14" s="43"/>
      <c r="AF14" s="1027">
        <f t="shared" si="11"/>
        <v>2.0228824583734948</v>
      </c>
      <c r="AG14" s="392">
        <f t="shared" si="12"/>
        <v>2.0230000000000001</v>
      </c>
      <c r="AH14" s="392">
        <f>AG14+'TAR_Tab 14_Overige tarieven'!$AA$14+'TAR_Tab 14_Overige tarieven'!$AA$15</f>
        <v>2.2030000000000003</v>
      </c>
      <c r="AI14" s="43"/>
    </row>
    <row r="15" spans="1:37">
      <c r="A15" s="96">
        <v>300024</v>
      </c>
      <c r="B15" s="1286" t="s">
        <v>736</v>
      </c>
      <c r="C15" s="1022"/>
      <c r="D15" s="1358"/>
      <c r="E15" s="1022"/>
      <c r="F15" s="1032">
        <v>1.8988361514254857</v>
      </c>
      <c r="G15" s="390">
        <f t="shared" si="0"/>
        <v>1.8069324816964922</v>
      </c>
      <c r="H15" s="390">
        <f t="shared" si="1"/>
        <v>1.8491623106977932</v>
      </c>
      <c r="I15" s="387"/>
      <c r="J15" s="388">
        <f t="shared" si="2"/>
        <v>1.7567041951629034</v>
      </c>
      <c r="K15" s="388">
        <f t="shared" si="3"/>
        <v>1.941620426232683</v>
      </c>
      <c r="L15" s="1316">
        <v>1.8634587745693321</v>
      </c>
      <c r="M15" s="61" t="b">
        <f t="shared" si="8"/>
        <v>1</v>
      </c>
      <c r="N15" s="857">
        <f t="shared" si="4"/>
        <v>1.8634587745693321</v>
      </c>
      <c r="O15" s="15"/>
      <c r="P15" s="445">
        <f t="shared" si="13"/>
        <v>-8.6423228040324845E-2</v>
      </c>
      <c r="Q15" s="445">
        <f t="shared" si="14"/>
        <v>8.9425012312681573E-2</v>
      </c>
      <c r="R15" s="445">
        <f t="shared" si="6"/>
        <v>0</v>
      </c>
      <c r="S15" s="445">
        <f t="shared" si="6"/>
        <v>3.3688639557916257E-3</v>
      </c>
      <c r="T15" s="445">
        <f t="shared" si="6"/>
        <v>7.8022249724824189E-2</v>
      </c>
      <c r="U15" s="445">
        <f t="shared" si="6"/>
        <v>-1.02108182755298E-2</v>
      </c>
      <c r="V15" s="445">
        <f t="shared" si="6"/>
        <v>-3.8414251225857895E-4</v>
      </c>
      <c r="W15" s="445">
        <f t="shared" si="6"/>
        <v>-3.1761851076309251E-2</v>
      </c>
      <c r="X15" s="445">
        <f t="shared" si="6"/>
        <v>2.5061191629059064E-3</v>
      </c>
      <c r="Y15" s="43"/>
      <c r="Z15" s="388">
        <f t="shared" si="9"/>
        <v>1.9080009798211128</v>
      </c>
      <c r="AA15" s="43"/>
      <c r="AB15" s="462">
        <f>IF('TAR_Tab 2_Volumina'!C18="storage",1,0)</f>
        <v>0</v>
      </c>
      <c r="AC15" s="389">
        <f t="shared" si="7"/>
        <v>1.9080009798211128</v>
      </c>
      <c r="AD15" s="389">
        <f t="shared" si="10"/>
        <v>2.0363925159963747</v>
      </c>
      <c r="AE15" s="43"/>
      <c r="AF15" s="1027">
        <f t="shared" si="11"/>
        <v>2.0363925159963747</v>
      </c>
      <c r="AG15" s="392">
        <f t="shared" si="12"/>
        <v>2.036</v>
      </c>
      <c r="AH15" s="392">
        <f>AG15+'TAR_Tab 14_Overige tarieven'!$AA$14+'TAR_Tab 14_Overige tarieven'!$AA$15</f>
        <v>2.2160000000000002</v>
      </c>
      <c r="AI15" s="43"/>
    </row>
    <row r="16" spans="1:37">
      <c r="A16" s="96">
        <v>300025</v>
      </c>
      <c r="B16" s="1286" t="s">
        <v>737</v>
      </c>
      <c r="C16" s="1022"/>
      <c r="D16" s="1358"/>
      <c r="E16" s="1022"/>
      <c r="F16" s="1032">
        <v>1.8078440030422742</v>
      </c>
      <c r="G16" s="390">
        <f t="shared" si="0"/>
        <v>1.7203443532950282</v>
      </c>
      <c r="H16" s="390">
        <f t="shared" si="1"/>
        <v>1.7605505306696214</v>
      </c>
      <c r="I16" s="387"/>
      <c r="J16" s="388">
        <f t="shared" si="2"/>
        <v>1.6725230041361403</v>
      </c>
      <c r="K16" s="388">
        <f t="shared" si="3"/>
        <v>1.8485780572031025</v>
      </c>
      <c r="L16" s="1316">
        <v>1.7741619085947093</v>
      </c>
      <c r="M16" s="61" t="b">
        <f t="shared" si="8"/>
        <v>1</v>
      </c>
      <c r="N16" s="857">
        <f t="shared" si="4"/>
        <v>1.7741619085947093</v>
      </c>
      <c r="O16" s="15"/>
      <c r="P16" s="445">
        <f t="shared" si="13"/>
        <v>-8.2281830593421465E-2</v>
      </c>
      <c r="Q16" s="445">
        <f t="shared" si="14"/>
        <v>8.5139769489904329E-2</v>
      </c>
      <c r="R16" s="445">
        <f t="shared" si="6"/>
        <v>0</v>
      </c>
      <c r="S16" s="445">
        <f t="shared" si="6"/>
        <v>3.2074281369516909E-3</v>
      </c>
      <c r="T16" s="445">
        <f t="shared" si="6"/>
        <v>7.428342680488792E-2</v>
      </c>
      <c r="U16" s="445">
        <f t="shared" si="6"/>
        <v>-9.7215162939220025E-3</v>
      </c>
      <c r="V16" s="445">
        <f t="shared" si="6"/>
        <v>-3.6573441925408684E-4</v>
      </c>
      <c r="W16" s="445">
        <f t="shared" si="6"/>
        <v>-3.0239824510777849E-2</v>
      </c>
      <c r="X16" s="445">
        <f t="shared" si="6"/>
        <v>2.3860260381958292E-3</v>
      </c>
      <c r="Y16" s="43"/>
      <c r="Z16" s="388">
        <f t="shared" si="9"/>
        <v>1.8165696532472737</v>
      </c>
      <c r="AA16" s="43"/>
      <c r="AB16" s="462">
        <f>IF('TAR_Tab 2_Volumina'!C19="storage",1,0)</f>
        <v>0</v>
      </c>
      <c r="AC16" s="389">
        <f t="shared" si="7"/>
        <v>1.8165696532472737</v>
      </c>
      <c r="AD16" s="389">
        <f t="shared" si="10"/>
        <v>1.9388086724178233</v>
      </c>
      <c r="AE16" s="43"/>
      <c r="AF16" s="1027">
        <f t="shared" si="11"/>
        <v>1.9388086724178233</v>
      </c>
      <c r="AG16" s="392">
        <f t="shared" si="12"/>
        <v>1.9390000000000001</v>
      </c>
      <c r="AH16" s="392">
        <f>AG16+'TAR_Tab 14_Overige tarieven'!$AA$14+'TAR_Tab 14_Overige tarieven'!$AA$15</f>
        <v>2.1189999999999998</v>
      </c>
      <c r="AI16" s="43"/>
    </row>
    <row r="17" spans="1:35">
      <c r="A17" s="96">
        <v>300027</v>
      </c>
      <c r="B17" s="1286" t="s">
        <v>259</v>
      </c>
      <c r="C17" s="1022"/>
      <c r="D17" s="1358"/>
      <c r="E17" s="1022"/>
      <c r="F17" s="1032">
        <v>1.8078440030422742</v>
      </c>
      <c r="G17" s="390">
        <f t="shared" si="0"/>
        <v>1.7203443532950282</v>
      </c>
      <c r="H17" s="390">
        <f t="shared" si="1"/>
        <v>1.7605505306696214</v>
      </c>
      <c r="I17" s="387"/>
      <c r="J17" s="388">
        <f t="shared" si="2"/>
        <v>1.6725230041361403</v>
      </c>
      <c r="K17" s="388">
        <f t="shared" si="3"/>
        <v>1.8485780572031025</v>
      </c>
      <c r="L17" s="1316">
        <v>1.7741619085947093</v>
      </c>
      <c r="M17" s="61" t="b">
        <f t="shared" si="8"/>
        <v>1</v>
      </c>
      <c r="N17" s="857">
        <f t="shared" si="4"/>
        <v>1.7741619085947093</v>
      </c>
      <c r="O17" s="15"/>
      <c r="P17" s="445">
        <f t="shared" si="13"/>
        <v>-8.2281830593421465E-2</v>
      </c>
      <c r="Q17" s="445">
        <f t="shared" si="14"/>
        <v>8.5139769489904329E-2</v>
      </c>
      <c r="R17" s="445">
        <f t="shared" si="6"/>
        <v>0</v>
      </c>
      <c r="S17" s="445">
        <f t="shared" si="6"/>
        <v>3.2074281369516909E-3</v>
      </c>
      <c r="T17" s="445">
        <f t="shared" si="6"/>
        <v>7.428342680488792E-2</v>
      </c>
      <c r="U17" s="445">
        <f t="shared" si="6"/>
        <v>-9.7215162939220025E-3</v>
      </c>
      <c r="V17" s="445">
        <f t="shared" si="6"/>
        <v>-3.6573441925408684E-4</v>
      </c>
      <c r="W17" s="445">
        <f t="shared" si="6"/>
        <v>-3.0239824510777849E-2</v>
      </c>
      <c r="X17" s="445">
        <f t="shared" si="6"/>
        <v>2.3860260381958292E-3</v>
      </c>
      <c r="Y17" s="43"/>
      <c r="Z17" s="388">
        <f t="shared" si="9"/>
        <v>1.8165696532472737</v>
      </c>
      <c r="AA17" s="43"/>
      <c r="AB17" s="462">
        <f>IF('TAR_Tab 2_Volumina'!C20="storage",1,0)</f>
        <v>0</v>
      </c>
      <c r="AC17" s="389">
        <f t="shared" si="7"/>
        <v>1.8165696532472737</v>
      </c>
      <c r="AD17" s="389">
        <f t="shared" si="10"/>
        <v>1.9388086724178233</v>
      </c>
      <c r="AE17" s="43"/>
      <c r="AF17" s="1027">
        <f t="shared" si="11"/>
        <v>1.9388086724178233</v>
      </c>
      <c r="AG17" s="392">
        <f t="shared" si="12"/>
        <v>1.9390000000000001</v>
      </c>
      <c r="AH17" s="392">
        <f>AG17+'TAR_Tab 14_Overige tarieven'!$AA$14+'TAR_Tab 14_Overige tarieven'!$AA$15</f>
        <v>2.1189999999999998</v>
      </c>
      <c r="AI17" s="43"/>
    </row>
    <row r="18" spans="1:35">
      <c r="A18" s="96">
        <v>300031</v>
      </c>
      <c r="B18" s="1286" t="s">
        <v>738</v>
      </c>
      <c r="C18" s="1022"/>
      <c r="D18" s="1358"/>
      <c r="E18" s="1022"/>
      <c r="F18" s="1032">
        <v>2.0888197579398846</v>
      </c>
      <c r="G18" s="390">
        <f t="shared" si="0"/>
        <v>1.9877208816555942</v>
      </c>
      <c r="H18" s="390">
        <f t="shared" si="1"/>
        <v>2.034175917350022</v>
      </c>
      <c r="I18" s="387"/>
      <c r="J18" s="388">
        <f t="shared" si="2"/>
        <v>1.9324671214825209</v>
      </c>
      <c r="K18" s="388">
        <f t="shared" si="3"/>
        <v>2.1358847132175232</v>
      </c>
      <c r="L18" s="1316">
        <v>2.049902780450414</v>
      </c>
      <c r="M18" s="61" t="b">
        <f t="shared" si="8"/>
        <v>1</v>
      </c>
      <c r="N18" s="857">
        <f t="shared" si="4"/>
        <v>2.049902780450414</v>
      </c>
      <c r="O18" s="15"/>
      <c r="P18" s="445">
        <f t="shared" si="13"/>
        <v>-9.5070101830562762E-2</v>
      </c>
      <c r="Q18" s="445">
        <f t="shared" si="14"/>
        <v>9.8372222601996781E-2</v>
      </c>
      <c r="R18" s="445">
        <f t="shared" si="6"/>
        <v>0</v>
      </c>
      <c r="S18" s="445">
        <f t="shared" si="6"/>
        <v>3.7059277533695151E-3</v>
      </c>
      <c r="T18" s="445">
        <f t="shared" si="6"/>
        <v>8.5828583293921956E-2</v>
      </c>
      <c r="U18" s="445">
        <f t="shared" si="6"/>
        <v>-1.1232437797568067E-2</v>
      </c>
      <c r="V18" s="445">
        <f t="shared" si="6"/>
        <v>-4.2257699215806835E-4</v>
      </c>
      <c r="W18" s="445">
        <f t="shared" si="6"/>
        <v>-3.4939708740605611E-2</v>
      </c>
      <c r="X18" s="445">
        <f t="shared" si="6"/>
        <v>2.7568630496632124E-3</v>
      </c>
      <c r="Y18" s="43"/>
      <c r="Z18" s="388">
        <f t="shared" si="9"/>
        <v>2.098901551788471</v>
      </c>
      <c r="AA18" s="43"/>
      <c r="AB18" s="462">
        <f>IF('TAR_Tab 2_Volumina'!C21="storage",1,0)</f>
        <v>0</v>
      </c>
      <c r="AC18" s="389">
        <f t="shared" si="7"/>
        <v>2.098901551788471</v>
      </c>
      <c r="AD18" s="389">
        <f t="shared" si="10"/>
        <v>2.2401390025889567</v>
      </c>
      <c r="AE18" s="43"/>
      <c r="AF18" s="1027">
        <f t="shared" si="11"/>
        <v>2.2401390025889567</v>
      </c>
      <c r="AG18" s="392">
        <f t="shared" si="12"/>
        <v>2.2400000000000002</v>
      </c>
      <c r="AH18" s="392">
        <f>AG18+'TAR_Tab 14_Overige tarieven'!$AA$14+'TAR_Tab 14_Overige tarieven'!$AA$15</f>
        <v>2.4200000000000004</v>
      </c>
      <c r="AI18" s="43"/>
    </row>
    <row r="19" spans="1:35">
      <c r="A19" s="96">
        <v>300032</v>
      </c>
      <c r="B19" s="1286" t="s">
        <v>51</v>
      </c>
      <c r="C19" s="1022"/>
      <c r="D19" s="1358"/>
      <c r="E19" s="1022"/>
      <c r="F19" s="1032">
        <v>2.1338158752722416</v>
      </c>
      <c r="G19" s="390">
        <f t="shared" si="0"/>
        <v>2.0305391869090652</v>
      </c>
      <c r="H19" s="390">
        <f t="shared" si="1"/>
        <v>2.0779949294518647</v>
      </c>
      <c r="I19" s="387"/>
      <c r="J19" s="388">
        <f t="shared" si="2"/>
        <v>1.9740951829792714</v>
      </c>
      <c r="K19" s="388">
        <f t="shared" si="3"/>
        <v>2.181894675924458</v>
      </c>
      <c r="L19" s="1316">
        <v>2.0940605713169851</v>
      </c>
      <c r="M19" s="61" t="b">
        <f t="shared" si="8"/>
        <v>1</v>
      </c>
      <c r="N19" s="857">
        <f t="shared" si="4"/>
        <v>2.0940605713169851</v>
      </c>
      <c r="O19" s="15"/>
      <c r="P19" s="445">
        <f t="shared" si="13"/>
        <v>-9.7118045622987481E-2</v>
      </c>
      <c r="Q19" s="445">
        <f t="shared" si="14"/>
        <v>0.10049129872315034</v>
      </c>
      <c r="R19" s="445">
        <f t="shared" si="6"/>
        <v>0</v>
      </c>
      <c r="S19" s="445">
        <f t="shared" si="6"/>
        <v>3.7857586527958557E-3</v>
      </c>
      <c r="T19" s="445">
        <f t="shared" si="6"/>
        <v>8.76774517708135E-2</v>
      </c>
      <c r="U19" s="445">
        <f t="shared" si="6"/>
        <v>-1.1474400315945547E-2</v>
      </c>
      <c r="V19" s="445">
        <f t="shared" si="6"/>
        <v>-4.3167989529215771E-4</v>
      </c>
      <c r="W19" s="445">
        <f t="shared" si="6"/>
        <v>-3.5692359240044207E-2</v>
      </c>
      <c r="X19" s="445">
        <f t="shared" si="6"/>
        <v>2.8162497596846783E-3</v>
      </c>
      <c r="Y19" s="43"/>
      <c r="Z19" s="388">
        <f t="shared" si="9"/>
        <v>2.1441148451491601</v>
      </c>
      <c r="AA19" s="43"/>
      <c r="AB19" s="462">
        <f>IF('TAR_Tab 2_Volumina'!C22="storage",1,0)</f>
        <v>0</v>
      </c>
      <c r="AC19" s="389">
        <f t="shared" si="7"/>
        <v>2.1441148451491601</v>
      </c>
      <c r="AD19" s="389">
        <f t="shared" si="10"/>
        <v>2.2883947494135146</v>
      </c>
      <c r="AE19" s="43"/>
      <c r="AF19" s="1027">
        <f t="shared" si="11"/>
        <v>2.2883947494135146</v>
      </c>
      <c r="AG19" s="392">
        <f t="shared" si="12"/>
        <v>2.2879999999999998</v>
      </c>
      <c r="AH19" s="392">
        <f>AG19+'TAR_Tab 14_Overige tarieven'!$AA$14+'TAR_Tab 14_Overige tarieven'!$AA$15</f>
        <v>2.468</v>
      </c>
      <c r="AI19" s="43"/>
    </row>
    <row r="20" spans="1:35">
      <c r="A20" s="96">
        <v>300034</v>
      </c>
      <c r="B20" s="1286" t="s">
        <v>739</v>
      </c>
      <c r="C20" s="1022"/>
      <c r="D20" s="1358"/>
      <c r="E20" s="1022"/>
      <c r="F20" s="1032">
        <v>1.8078440030422742</v>
      </c>
      <c r="G20" s="390">
        <f t="shared" si="0"/>
        <v>1.7203443532950282</v>
      </c>
      <c r="H20" s="390">
        <f t="shared" si="1"/>
        <v>1.7605505306696214</v>
      </c>
      <c r="I20" s="387"/>
      <c r="J20" s="388">
        <f t="shared" si="2"/>
        <v>1.6725230041361403</v>
      </c>
      <c r="K20" s="388">
        <f t="shared" si="3"/>
        <v>1.8485780572031025</v>
      </c>
      <c r="L20" s="1316">
        <v>1.7741619085947093</v>
      </c>
      <c r="M20" s="61" t="b">
        <f t="shared" si="8"/>
        <v>1</v>
      </c>
      <c r="N20" s="857">
        <f t="shared" si="4"/>
        <v>1.7741619085947093</v>
      </c>
      <c r="O20" s="15"/>
      <c r="P20" s="445">
        <f t="shared" si="13"/>
        <v>-8.2281830593421465E-2</v>
      </c>
      <c r="Q20" s="445">
        <f t="shared" si="14"/>
        <v>8.5139769489904329E-2</v>
      </c>
      <c r="R20" s="445">
        <f t="shared" si="6"/>
        <v>0</v>
      </c>
      <c r="S20" s="445">
        <f t="shared" si="6"/>
        <v>3.2074281369516909E-3</v>
      </c>
      <c r="T20" s="445">
        <f t="shared" si="6"/>
        <v>7.428342680488792E-2</v>
      </c>
      <c r="U20" s="445">
        <f t="shared" si="6"/>
        <v>-9.7215162939220025E-3</v>
      </c>
      <c r="V20" s="445">
        <f t="shared" si="6"/>
        <v>-3.6573441925408684E-4</v>
      </c>
      <c r="W20" s="445">
        <f t="shared" si="6"/>
        <v>-3.0239824510777849E-2</v>
      </c>
      <c r="X20" s="445">
        <f t="shared" si="6"/>
        <v>2.3860260381958292E-3</v>
      </c>
      <c r="Y20" s="43"/>
      <c r="Z20" s="388">
        <f t="shared" si="9"/>
        <v>1.8165696532472737</v>
      </c>
      <c r="AA20" s="43"/>
      <c r="AB20" s="462">
        <f>IF('TAR_Tab 2_Volumina'!C23="storage",1,0)</f>
        <v>0</v>
      </c>
      <c r="AC20" s="389">
        <f t="shared" si="7"/>
        <v>1.8165696532472737</v>
      </c>
      <c r="AD20" s="389">
        <f t="shared" si="10"/>
        <v>1.9388086724178233</v>
      </c>
      <c r="AE20" s="43"/>
      <c r="AF20" s="1027">
        <f t="shared" si="11"/>
        <v>1.9388086724178233</v>
      </c>
      <c r="AG20" s="392">
        <f t="shared" si="12"/>
        <v>1.9390000000000001</v>
      </c>
      <c r="AH20" s="392">
        <f>AG20+'TAR_Tab 14_Overige tarieven'!$AA$14+'TAR_Tab 14_Overige tarieven'!$AA$15</f>
        <v>2.1189999999999998</v>
      </c>
      <c r="AI20" s="43"/>
    </row>
    <row r="21" spans="1:35">
      <c r="A21" s="96">
        <v>300035</v>
      </c>
      <c r="B21" s="1286" t="s">
        <v>740</v>
      </c>
      <c r="C21" s="1022"/>
      <c r="D21" s="1358"/>
      <c r="E21" s="1022"/>
      <c r="F21" s="1032">
        <v>2.1258165655242673</v>
      </c>
      <c r="G21" s="390">
        <f t="shared" si="0"/>
        <v>2.022927043752893</v>
      </c>
      <c r="H21" s="390">
        <f t="shared" si="1"/>
        <v>2.070204882855982</v>
      </c>
      <c r="I21" s="387"/>
      <c r="J21" s="388">
        <f t="shared" si="2"/>
        <v>1.9666946387131827</v>
      </c>
      <c r="K21" s="388">
        <f t="shared" si="3"/>
        <v>2.1737151269987813</v>
      </c>
      <c r="L21" s="1316">
        <v>2.0862102973851506</v>
      </c>
      <c r="M21" s="61" t="b">
        <f t="shared" si="8"/>
        <v>1</v>
      </c>
      <c r="N21" s="857">
        <f t="shared" si="4"/>
        <v>2.0862102973851506</v>
      </c>
      <c r="O21" s="15"/>
      <c r="P21" s="445">
        <f t="shared" si="13"/>
        <v>-9.6753966726556437E-2</v>
      </c>
      <c r="Q21" s="445">
        <f t="shared" si="14"/>
        <v>0.10011457407938971</v>
      </c>
      <c r="R21" s="445">
        <f t="shared" si="6"/>
        <v>0</v>
      </c>
      <c r="S21" s="445">
        <f t="shared" si="6"/>
        <v>3.7715664928978402E-3</v>
      </c>
      <c r="T21" s="445">
        <f t="shared" si="6"/>
        <v>8.7348764041588353E-2</v>
      </c>
      <c r="U21" s="445">
        <f t="shared" si="6"/>
        <v>-1.1431384757122886E-2</v>
      </c>
      <c r="V21" s="445">
        <f t="shared" si="6"/>
        <v>-4.3006160140165301E-4</v>
      </c>
      <c r="W21" s="445">
        <f t="shared" si="6"/>
        <v>-3.5558554706810686E-2</v>
      </c>
      <c r="X21" s="445">
        <f t="shared" si="6"/>
        <v>2.8056921223475291E-3</v>
      </c>
      <c r="Y21" s="43"/>
      <c r="Z21" s="388">
        <f t="shared" si="9"/>
        <v>2.1360769263294825</v>
      </c>
      <c r="AA21" s="43"/>
      <c r="AB21" s="462">
        <f>IF('TAR_Tab 2_Volumina'!C24="storage",1,0)</f>
        <v>0</v>
      </c>
      <c r="AC21" s="389">
        <f t="shared" si="7"/>
        <v>2.1360769263294825</v>
      </c>
      <c r="AD21" s="389">
        <f t="shared" si="10"/>
        <v>2.2798159499780382</v>
      </c>
      <c r="AE21" s="43"/>
      <c r="AF21" s="1027">
        <f t="shared" si="11"/>
        <v>2.2798159499780382</v>
      </c>
      <c r="AG21" s="392">
        <f t="shared" si="12"/>
        <v>2.2799999999999998</v>
      </c>
      <c r="AH21" s="392">
        <f>AG21+'TAR_Tab 14_Overige tarieven'!$AA$14+'TAR_Tab 14_Overige tarieven'!$AA$15</f>
        <v>2.46</v>
      </c>
      <c r="AI21" s="43"/>
    </row>
    <row r="22" spans="1:35">
      <c r="A22" s="96">
        <v>300039</v>
      </c>
      <c r="B22" s="1286" t="s">
        <v>741</v>
      </c>
      <c r="C22" s="1022"/>
      <c r="D22" s="1358"/>
      <c r="E22" s="1022"/>
      <c r="F22" s="1032">
        <v>2.0888197579398846</v>
      </c>
      <c r="G22" s="390">
        <f t="shared" si="0"/>
        <v>1.9877208816555942</v>
      </c>
      <c r="H22" s="390">
        <f t="shared" si="1"/>
        <v>2.034175917350022</v>
      </c>
      <c r="I22" s="387"/>
      <c r="J22" s="388">
        <f t="shared" si="2"/>
        <v>1.9324671214825209</v>
      </c>
      <c r="K22" s="388">
        <f t="shared" si="3"/>
        <v>2.1358847132175232</v>
      </c>
      <c r="L22" s="1316">
        <v>2.049902780450414</v>
      </c>
      <c r="M22" s="61" t="b">
        <f t="shared" si="8"/>
        <v>1</v>
      </c>
      <c r="N22" s="857">
        <f t="shared" si="4"/>
        <v>2.049902780450414</v>
      </c>
      <c r="O22" s="15"/>
      <c r="P22" s="445">
        <f t="shared" si="13"/>
        <v>-9.5070101830562762E-2</v>
      </c>
      <c r="Q22" s="445">
        <f t="shared" si="14"/>
        <v>9.8372222601996781E-2</v>
      </c>
      <c r="R22" s="445">
        <f t="shared" si="6"/>
        <v>0</v>
      </c>
      <c r="S22" s="445">
        <f t="shared" si="6"/>
        <v>3.7059277533695151E-3</v>
      </c>
      <c r="T22" s="445">
        <f t="shared" si="6"/>
        <v>8.5828583293921956E-2</v>
      </c>
      <c r="U22" s="445">
        <f t="shared" si="6"/>
        <v>-1.1232437797568067E-2</v>
      </c>
      <c r="V22" s="445">
        <f t="shared" si="6"/>
        <v>-4.2257699215806835E-4</v>
      </c>
      <c r="W22" s="445">
        <f t="shared" si="6"/>
        <v>-3.4939708740605611E-2</v>
      </c>
      <c r="X22" s="445">
        <f t="shared" si="6"/>
        <v>2.7568630496632124E-3</v>
      </c>
      <c r="Y22" s="43"/>
      <c r="Z22" s="388">
        <f t="shared" si="9"/>
        <v>2.098901551788471</v>
      </c>
      <c r="AA22" s="43"/>
      <c r="AB22" s="462">
        <f>IF('TAR_Tab 2_Volumina'!C25="storage",1,0)</f>
        <v>0</v>
      </c>
      <c r="AC22" s="389">
        <f t="shared" si="7"/>
        <v>2.098901551788471</v>
      </c>
      <c r="AD22" s="389">
        <f t="shared" si="10"/>
        <v>2.2401390025889567</v>
      </c>
      <c r="AE22" s="43"/>
      <c r="AF22" s="1027">
        <f t="shared" si="11"/>
        <v>2.2401390025889567</v>
      </c>
      <c r="AG22" s="392">
        <f t="shared" si="12"/>
        <v>2.2400000000000002</v>
      </c>
      <c r="AH22" s="392">
        <f>AG22+'TAR_Tab 14_Overige tarieven'!$AA$14+'TAR_Tab 14_Overige tarieven'!$AA$15</f>
        <v>2.4200000000000004</v>
      </c>
      <c r="AI22" s="43"/>
    </row>
    <row r="23" spans="1:35">
      <c r="A23" s="96">
        <v>300042</v>
      </c>
      <c r="B23" s="1286" t="s">
        <v>260</v>
      </c>
      <c r="C23" s="1022"/>
      <c r="D23" s="1358"/>
      <c r="E23" s="1022"/>
      <c r="F23" s="1032">
        <v>2.98374253599455</v>
      </c>
      <c r="G23" s="390">
        <f t="shared" si="0"/>
        <v>2.8393293972524138</v>
      </c>
      <c r="H23" s="390">
        <f t="shared" si="1"/>
        <v>2.9056873802644638</v>
      </c>
      <c r="I23" s="387"/>
      <c r="J23" s="388">
        <f t="shared" si="2"/>
        <v>2.7604030112512405</v>
      </c>
      <c r="K23" s="388">
        <f t="shared" si="3"/>
        <v>3.0509717492776871</v>
      </c>
      <c r="L23" s="1316">
        <v>2.928152176574454</v>
      </c>
      <c r="M23" s="61" t="b">
        <f t="shared" si="8"/>
        <v>1</v>
      </c>
      <c r="N23" s="857">
        <f t="shared" si="4"/>
        <v>2.928152176574454</v>
      </c>
      <c r="O23" s="15"/>
      <c r="P23" s="445">
        <f t="shared" si="13"/>
        <v>-0.13580142836878853</v>
      </c>
      <c r="Q23" s="445">
        <f t="shared" si="14"/>
        <v>0.14051829212271821</v>
      </c>
      <c r="R23" s="445">
        <f t="shared" si="14"/>
        <v>0</v>
      </c>
      <c r="S23" s="445">
        <f t="shared" si="14"/>
        <v>5.2936756419600913E-3</v>
      </c>
      <c r="T23" s="445">
        <f t="shared" si="14"/>
        <v>0.1226005230009876</v>
      </c>
      <c r="U23" s="445">
        <f t="shared" si="14"/>
        <v>-1.6044803440853569E-2</v>
      </c>
      <c r="V23" s="445">
        <f t="shared" si="14"/>
        <v>-6.0362362115829382E-4</v>
      </c>
      <c r="W23" s="445">
        <f t="shared" si="14"/>
        <v>-4.990909089610681E-2</v>
      </c>
      <c r="X23" s="445">
        <f t="shared" si="14"/>
        <v>3.9379987267568334E-3</v>
      </c>
      <c r="Y23" s="43"/>
      <c r="Z23" s="388">
        <f t="shared" si="9"/>
        <v>2.9981437197399696</v>
      </c>
      <c r="AA23" s="43"/>
      <c r="AB23" s="462">
        <f>IF('TAR_Tab 2_Volumina'!C26="storage",1,0)</f>
        <v>0</v>
      </c>
      <c r="AC23" s="389">
        <f t="shared" si="7"/>
        <v>2.9981437197399696</v>
      </c>
      <c r="AD23" s="389">
        <f t="shared" si="10"/>
        <v>3.1998921894329562</v>
      </c>
      <c r="AE23" s="43"/>
      <c r="AF23" s="1027">
        <f t="shared" si="11"/>
        <v>3.1998921894329562</v>
      </c>
      <c r="AG23" s="392">
        <f t="shared" si="12"/>
        <v>3.2</v>
      </c>
      <c r="AH23" s="392">
        <f>AG23+'TAR_Tab 14_Overige tarieven'!$AA$14+'TAR_Tab 14_Overige tarieven'!$AA$15</f>
        <v>3.3800000000000003</v>
      </c>
      <c r="AI23" s="43"/>
    </row>
    <row r="24" spans="1:35">
      <c r="A24" s="96">
        <v>300043</v>
      </c>
      <c r="B24" s="1286" t="s">
        <v>261</v>
      </c>
      <c r="C24" s="1022"/>
      <c r="D24" s="1358"/>
      <c r="E24" s="1022"/>
      <c r="F24" s="1032">
        <v>2.98374253599455</v>
      </c>
      <c r="G24" s="390">
        <f t="shared" si="0"/>
        <v>2.8393293972524138</v>
      </c>
      <c r="H24" s="390">
        <f t="shared" si="1"/>
        <v>2.9056873802644638</v>
      </c>
      <c r="I24" s="387"/>
      <c r="J24" s="388">
        <f t="shared" si="2"/>
        <v>2.7604030112512405</v>
      </c>
      <c r="K24" s="388">
        <f t="shared" si="3"/>
        <v>3.0509717492776871</v>
      </c>
      <c r="L24" s="1316">
        <v>2.928152176574454</v>
      </c>
      <c r="M24" s="61" t="b">
        <f t="shared" si="8"/>
        <v>1</v>
      </c>
      <c r="N24" s="857">
        <f t="shared" si="4"/>
        <v>2.928152176574454</v>
      </c>
      <c r="O24" s="15"/>
      <c r="P24" s="445">
        <f t="shared" si="13"/>
        <v>-0.13580142836878853</v>
      </c>
      <c r="Q24" s="445">
        <f t="shared" si="14"/>
        <v>0.14051829212271821</v>
      </c>
      <c r="R24" s="445">
        <f t="shared" si="14"/>
        <v>0</v>
      </c>
      <c r="S24" s="445">
        <f t="shared" si="14"/>
        <v>5.2936756419600913E-3</v>
      </c>
      <c r="T24" s="445">
        <f t="shared" si="14"/>
        <v>0.1226005230009876</v>
      </c>
      <c r="U24" s="445">
        <f t="shared" si="14"/>
        <v>-1.6044803440853569E-2</v>
      </c>
      <c r="V24" s="445">
        <f t="shared" si="14"/>
        <v>-6.0362362115829382E-4</v>
      </c>
      <c r="W24" s="445">
        <f t="shared" si="14"/>
        <v>-4.990909089610681E-2</v>
      </c>
      <c r="X24" s="445">
        <f t="shared" si="14"/>
        <v>3.9379987267568334E-3</v>
      </c>
      <c r="Y24" s="43"/>
      <c r="Z24" s="388">
        <f t="shared" si="9"/>
        <v>2.9981437197399696</v>
      </c>
      <c r="AA24" s="43"/>
      <c r="AB24" s="462">
        <f>IF('TAR_Tab 2_Volumina'!C27="storage",1,0)</f>
        <v>0</v>
      </c>
      <c r="AC24" s="389">
        <f t="shared" si="7"/>
        <v>2.9981437197399696</v>
      </c>
      <c r="AD24" s="389">
        <f t="shared" si="10"/>
        <v>3.1998921894329562</v>
      </c>
      <c r="AE24" s="43"/>
      <c r="AF24" s="1027">
        <f t="shared" si="11"/>
        <v>3.1998921894329562</v>
      </c>
      <c r="AG24" s="392">
        <f t="shared" si="12"/>
        <v>3.2</v>
      </c>
      <c r="AH24" s="392">
        <f>AG24+'TAR_Tab 14_Overige tarieven'!$AA$14+'TAR_Tab 14_Overige tarieven'!$AA$15</f>
        <v>3.3800000000000003</v>
      </c>
      <c r="AI24" s="43"/>
    </row>
    <row r="25" spans="1:35">
      <c r="A25" s="96">
        <v>300049</v>
      </c>
      <c r="B25" s="1286" t="s">
        <v>742</v>
      </c>
      <c r="C25" s="1022"/>
      <c r="D25" s="1358"/>
      <c r="E25" s="1022"/>
      <c r="F25" s="1032">
        <v>2.5397808449819554</v>
      </c>
      <c r="G25" s="390">
        <f t="shared" si="0"/>
        <v>2.4168554520848287</v>
      </c>
      <c r="H25" s="390">
        <f t="shared" si="1"/>
        <v>2.4733397941929409</v>
      </c>
      <c r="I25" s="387"/>
      <c r="J25" s="388">
        <f t="shared" si="2"/>
        <v>2.3496728044832937</v>
      </c>
      <c r="K25" s="388">
        <f t="shared" si="3"/>
        <v>2.5970067839025881</v>
      </c>
      <c r="L25" s="1316">
        <v>2.492461973357611</v>
      </c>
      <c r="M25" s="61" t="b">
        <f t="shared" si="8"/>
        <v>1</v>
      </c>
      <c r="N25" s="857">
        <f t="shared" si="4"/>
        <v>2.492461973357611</v>
      </c>
      <c r="O25" s="15"/>
      <c r="P25" s="445">
        <f t="shared" si="13"/>
        <v>-0.1155950496168642</v>
      </c>
      <c r="Q25" s="445">
        <f t="shared" si="14"/>
        <v>0.11961007439400273</v>
      </c>
      <c r="R25" s="445">
        <f t="shared" si="14"/>
        <v>0</v>
      </c>
      <c r="S25" s="445">
        <f t="shared" si="14"/>
        <v>4.506010767620184E-3</v>
      </c>
      <c r="T25" s="445">
        <f t="shared" si="14"/>
        <v>0.10435835402899075</v>
      </c>
      <c r="U25" s="445">
        <f t="shared" si="14"/>
        <v>-1.365743992619573E-2</v>
      </c>
      <c r="V25" s="445">
        <f t="shared" si="14"/>
        <v>-5.1380831023527674E-4</v>
      </c>
      <c r="W25" s="445">
        <f t="shared" si="14"/>
        <v>-4.2482939301645865E-2</v>
      </c>
      <c r="X25" s="445">
        <f t="shared" si="14"/>
        <v>3.3520498545450248E-3</v>
      </c>
      <c r="Y25" s="43"/>
      <c r="Z25" s="388">
        <f t="shared" si="9"/>
        <v>2.5520392252478286</v>
      </c>
      <c r="AA25" s="43"/>
      <c r="AB25" s="462">
        <f>IF('TAR_Tab 2_Volumina'!C28="storage",1,0)</f>
        <v>0</v>
      </c>
      <c r="AC25" s="389">
        <f t="shared" si="7"/>
        <v>2.5520392252478286</v>
      </c>
      <c r="AD25" s="389">
        <f t="shared" si="10"/>
        <v>2.7237688207639765</v>
      </c>
      <c r="AE25" s="43"/>
      <c r="AF25" s="1027">
        <f t="shared" si="11"/>
        <v>2.7237688207639765</v>
      </c>
      <c r="AG25" s="392">
        <f t="shared" si="12"/>
        <v>2.7240000000000002</v>
      </c>
      <c r="AH25" s="392">
        <f>AG25+'TAR_Tab 14_Overige tarieven'!$AA$14+'TAR_Tab 14_Overige tarieven'!$AA$15</f>
        <v>2.9040000000000004</v>
      </c>
      <c r="AI25" s="43"/>
    </row>
    <row r="26" spans="1:35">
      <c r="A26" s="96">
        <v>300050</v>
      </c>
      <c r="B26" s="1286" t="s">
        <v>52</v>
      </c>
      <c r="C26" s="1022"/>
      <c r="D26" s="1358"/>
      <c r="E26" s="1022"/>
      <c r="F26" s="1032">
        <v>2.8437546154049937</v>
      </c>
      <c r="G26" s="390">
        <f t="shared" si="0"/>
        <v>2.7061168920193919</v>
      </c>
      <c r="H26" s="390">
        <f t="shared" si="1"/>
        <v>2.7693615648365064</v>
      </c>
      <c r="I26" s="387"/>
      <c r="J26" s="388">
        <f t="shared" si="2"/>
        <v>2.6308934865946809</v>
      </c>
      <c r="K26" s="388">
        <f t="shared" si="3"/>
        <v>2.9078296430783319</v>
      </c>
      <c r="L26" s="1316">
        <v>2.6308934865946809</v>
      </c>
      <c r="M26" s="61" t="b">
        <f t="shared" si="8"/>
        <v>1</v>
      </c>
      <c r="N26" s="857">
        <f t="shared" si="4"/>
        <v>2.6308934865946809</v>
      </c>
      <c r="O26" s="15"/>
      <c r="P26" s="445">
        <f t="shared" si="13"/>
        <v>-0.12201520679969187</v>
      </c>
      <c r="Q26" s="445">
        <f t="shared" si="14"/>
        <v>0.12625322633523584</v>
      </c>
      <c r="R26" s="445">
        <f t="shared" si="14"/>
        <v>0</v>
      </c>
      <c r="S26" s="445">
        <f t="shared" si="14"/>
        <v>4.7562749224565777E-3</v>
      </c>
      <c r="T26" s="445">
        <f t="shared" si="14"/>
        <v>0.11015442434885289</v>
      </c>
      <c r="U26" s="445">
        <f t="shared" si="14"/>
        <v>-1.4415975099906237E-2</v>
      </c>
      <c r="V26" s="445">
        <f t="shared" si="14"/>
        <v>-5.4234525990991321E-4</v>
      </c>
      <c r="W26" s="445">
        <f t="shared" si="14"/>
        <v>-4.4842444737294748E-2</v>
      </c>
      <c r="X26" s="445">
        <f t="shared" si="14"/>
        <v>3.5382229391380349E-3</v>
      </c>
      <c r="Y26" s="43"/>
      <c r="Z26" s="388">
        <f t="shared" si="9"/>
        <v>2.6937796632435616</v>
      </c>
      <c r="AA26" s="43"/>
      <c r="AB26" s="462">
        <f>IF('TAR_Tab 2_Volumina'!C29="storage",1,0)</f>
        <v>0</v>
      </c>
      <c r="AC26" s="389">
        <f t="shared" si="7"/>
        <v>2.6937796632435616</v>
      </c>
      <c r="AD26" s="389">
        <f t="shared" si="10"/>
        <v>2.8750471325684184</v>
      </c>
      <c r="AE26" s="43"/>
      <c r="AF26" s="1027">
        <f t="shared" si="11"/>
        <v>2.8750471325684184</v>
      </c>
      <c r="AG26" s="392">
        <f t="shared" si="12"/>
        <v>2.875</v>
      </c>
      <c r="AH26" s="392">
        <f>AG26+'TAR_Tab 14_Overige tarieven'!$AA$14+'TAR_Tab 14_Overige tarieven'!$AA$15</f>
        <v>3.0550000000000002</v>
      </c>
      <c r="AI26" s="43"/>
    </row>
    <row r="27" spans="1:35">
      <c r="A27" s="96">
        <v>300052</v>
      </c>
      <c r="B27" s="1286" t="s">
        <v>53</v>
      </c>
      <c r="C27" s="1022"/>
      <c r="D27" s="1358"/>
      <c r="E27" s="1022"/>
      <c r="F27" s="1032">
        <v>2.8437546154049937</v>
      </c>
      <c r="G27" s="390">
        <f t="shared" si="0"/>
        <v>2.7061168920193919</v>
      </c>
      <c r="H27" s="390">
        <f t="shared" si="1"/>
        <v>2.7693615648365064</v>
      </c>
      <c r="I27" s="387"/>
      <c r="J27" s="388">
        <f t="shared" si="2"/>
        <v>2.6308934865946809</v>
      </c>
      <c r="K27" s="388">
        <f t="shared" si="3"/>
        <v>2.9078296430783319</v>
      </c>
      <c r="L27" s="1316">
        <v>2.7907723827673419</v>
      </c>
      <c r="M27" s="61" t="b">
        <f t="shared" si="8"/>
        <v>1</v>
      </c>
      <c r="N27" s="857">
        <f t="shared" si="4"/>
        <v>2.7907723827673419</v>
      </c>
      <c r="O27" s="15"/>
      <c r="P27" s="445">
        <f t="shared" si="13"/>
        <v>-0.12943004768124486</v>
      </c>
      <c r="Q27" s="445">
        <f t="shared" si="14"/>
        <v>0.13392561085690705</v>
      </c>
      <c r="R27" s="445">
        <f t="shared" si="14"/>
        <v>0</v>
      </c>
      <c r="S27" s="445">
        <f t="shared" si="14"/>
        <v>5.0453128437448064E-3</v>
      </c>
      <c r="T27" s="445">
        <f t="shared" si="14"/>
        <v>0.11684848773954717</v>
      </c>
      <c r="U27" s="445">
        <f t="shared" si="14"/>
        <v>-1.5292031161456957E-2</v>
      </c>
      <c r="V27" s="445">
        <f t="shared" si="14"/>
        <v>-5.7530347807445968E-4</v>
      </c>
      <c r="W27" s="445">
        <f t="shared" si="14"/>
        <v>-4.7567511564520035E-2</v>
      </c>
      <c r="X27" s="445">
        <f t="shared" si="14"/>
        <v>3.7532400733567141E-3</v>
      </c>
      <c r="Y27" s="43"/>
      <c r="Z27" s="388">
        <f t="shared" si="9"/>
        <v>2.8574801403956012</v>
      </c>
      <c r="AA27" s="43"/>
      <c r="AB27" s="462">
        <f>IF('TAR_Tab 2_Volumina'!C30="storage",1,0)</f>
        <v>0</v>
      </c>
      <c r="AC27" s="389">
        <f t="shared" si="7"/>
        <v>2.8574801403956012</v>
      </c>
      <c r="AD27" s="389">
        <f t="shared" si="10"/>
        <v>3.0497631993121073</v>
      </c>
      <c r="AE27" s="43"/>
      <c r="AF27" s="1027">
        <f t="shared" si="11"/>
        <v>3.0497631993121073</v>
      </c>
      <c r="AG27" s="392">
        <f t="shared" si="12"/>
        <v>3.05</v>
      </c>
      <c r="AH27" s="392">
        <f>AG27+'TAR_Tab 14_Overige tarieven'!$AA$14+'TAR_Tab 14_Overige tarieven'!$AA$15</f>
        <v>3.23</v>
      </c>
      <c r="AI27" s="43"/>
    </row>
    <row r="28" spans="1:35">
      <c r="A28" s="96">
        <v>300053</v>
      </c>
      <c r="B28" s="1286" t="s">
        <v>743</v>
      </c>
      <c r="C28" s="1022"/>
      <c r="D28" s="1358"/>
      <c r="E28" s="1022"/>
      <c r="F28" s="1032">
        <v>2.8437546154049937</v>
      </c>
      <c r="G28" s="390">
        <f t="shared" si="0"/>
        <v>2.7061168920193919</v>
      </c>
      <c r="H28" s="390">
        <f t="shared" si="1"/>
        <v>2.7693615648365064</v>
      </c>
      <c r="I28" s="387"/>
      <c r="J28" s="388">
        <f t="shared" si="2"/>
        <v>2.6308934865946809</v>
      </c>
      <c r="K28" s="388">
        <f t="shared" si="3"/>
        <v>2.9078296430783319</v>
      </c>
      <c r="L28" s="1316">
        <v>2.7907723827673419</v>
      </c>
      <c r="M28" s="61" t="b">
        <f t="shared" si="8"/>
        <v>1</v>
      </c>
      <c r="N28" s="857">
        <f t="shared" si="4"/>
        <v>2.7907723827673419</v>
      </c>
      <c r="O28" s="15"/>
      <c r="P28" s="445">
        <f t="shared" si="13"/>
        <v>-0.12943004768124486</v>
      </c>
      <c r="Q28" s="445">
        <f t="shared" si="14"/>
        <v>0.13392561085690705</v>
      </c>
      <c r="R28" s="445">
        <f t="shared" si="14"/>
        <v>0</v>
      </c>
      <c r="S28" s="445">
        <f t="shared" si="14"/>
        <v>5.0453128437448064E-3</v>
      </c>
      <c r="T28" s="445">
        <f t="shared" si="14"/>
        <v>0.11684848773954717</v>
      </c>
      <c r="U28" s="445">
        <f t="shared" si="14"/>
        <v>-1.5292031161456957E-2</v>
      </c>
      <c r="V28" s="445">
        <f t="shared" si="14"/>
        <v>-5.7530347807445968E-4</v>
      </c>
      <c r="W28" s="445">
        <f t="shared" si="14"/>
        <v>-4.7567511564520035E-2</v>
      </c>
      <c r="X28" s="445">
        <f t="shared" si="14"/>
        <v>3.7532400733567141E-3</v>
      </c>
      <c r="Y28" s="43"/>
      <c r="Z28" s="388">
        <f t="shared" si="9"/>
        <v>2.8574801403956012</v>
      </c>
      <c r="AA28" s="43"/>
      <c r="AB28" s="462">
        <f>IF('TAR_Tab 2_Volumina'!C31="storage",1,0)</f>
        <v>0</v>
      </c>
      <c r="AC28" s="389">
        <f t="shared" si="7"/>
        <v>2.8574801403956012</v>
      </c>
      <c r="AD28" s="389">
        <f t="shared" si="10"/>
        <v>3.0497631993121073</v>
      </c>
      <c r="AE28" s="43"/>
      <c r="AF28" s="1027">
        <f t="shared" si="11"/>
        <v>3.0497631993121073</v>
      </c>
      <c r="AG28" s="392">
        <f t="shared" si="12"/>
        <v>3.05</v>
      </c>
      <c r="AH28" s="392">
        <f>AG28+'TAR_Tab 14_Overige tarieven'!$AA$14+'TAR_Tab 14_Overige tarieven'!$AA$15</f>
        <v>3.23</v>
      </c>
      <c r="AI28" s="43"/>
    </row>
    <row r="29" spans="1:35">
      <c r="A29" s="96">
        <v>300057</v>
      </c>
      <c r="B29" s="1286" t="s">
        <v>201</v>
      </c>
      <c r="C29" s="1022"/>
      <c r="D29" s="1358"/>
      <c r="E29" s="1022"/>
      <c r="F29" s="1032">
        <v>1.8933364789945806</v>
      </c>
      <c r="G29" s="390">
        <f t="shared" si="0"/>
        <v>1.8016989934112428</v>
      </c>
      <c r="H29" s="390">
        <f t="shared" si="1"/>
        <v>1.8438065105289483</v>
      </c>
      <c r="I29" s="387"/>
      <c r="J29" s="388">
        <f t="shared" si="2"/>
        <v>1.7516161850025007</v>
      </c>
      <c r="K29" s="388">
        <f t="shared" si="3"/>
        <v>1.9359968360553959</v>
      </c>
      <c r="L29" s="1316">
        <v>1.8580615670004044</v>
      </c>
      <c r="M29" s="61" t="b">
        <f t="shared" si="8"/>
        <v>1</v>
      </c>
      <c r="N29" s="857">
        <f t="shared" si="4"/>
        <v>1.8580615670004044</v>
      </c>
      <c r="O29" s="15"/>
      <c r="P29" s="445">
        <f t="shared" si="13"/>
        <v>-8.6172917109449437E-2</v>
      </c>
      <c r="Q29" s="445">
        <f t="shared" si="14"/>
        <v>8.9166007198164351E-2</v>
      </c>
      <c r="R29" s="445">
        <f t="shared" si="14"/>
        <v>0</v>
      </c>
      <c r="S29" s="445">
        <f t="shared" si="14"/>
        <v>3.3591065850952506E-3</v>
      </c>
      <c r="T29" s="445">
        <f t="shared" si="14"/>
        <v>7.7796270871679507E-2</v>
      </c>
      <c r="U29" s="445">
        <f t="shared" si="14"/>
        <v>-1.0181244288472118E-2</v>
      </c>
      <c r="V29" s="445">
        <f t="shared" si="14"/>
        <v>-3.8302990547435425E-4</v>
      </c>
      <c r="W29" s="445">
        <f t="shared" si="14"/>
        <v>-3.1669858001189127E-2</v>
      </c>
      <c r="X29" s="445">
        <f t="shared" si="14"/>
        <v>2.4988605932507787E-3</v>
      </c>
      <c r="Y29" s="43"/>
      <c r="Z29" s="388">
        <f t="shared" si="9"/>
        <v>1.9024747629440093</v>
      </c>
      <c r="AA29" s="43"/>
      <c r="AB29" s="462">
        <f>IF('TAR_Tab 2_Volumina'!C32="storage",1,0)</f>
        <v>0</v>
      </c>
      <c r="AC29" s="389">
        <f t="shared" si="7"/>
        <v>1.9024747629440093</v>
      </c>
      <c r="AD29" s="389">
        <f t="shared" si="10"/>
        <v>2.0304944337577786</v>
      </c>
      <c r="AE29" s="43"/>
      <c r="AF29" s="1027">
        <f t="shared" si="11"/>
        <v>2.0304944337577786</v>
      </c>
      <c r="AG29" s="392">
        <f t="shared" si="12"/>
        <v>2.0299999999999998</v>
      </c>
      <c r="AH29" s="392">
        <f>AG29+'TAR_Tab 14_Overige tarieven'!$AA$14+'TAR_Tab 14_Overige tarieven'!$AA$15</f>
        <v>2.21</v>
      </c>
      <c r="AI29" s="43"/>
    </row>
    <row r="30" spans="1:35">
      <c r="A30" s="96">
        <v>300059</v>
      </c>
      <c r="B30" s="1286" t="s">
        <v>744</v>
      </c>
      <c r="C30" s="1022"/>
      <c r="D30" s="1358"/>
      <c r="E30" s="1022"/>
      <c r="F30" s="1032">
        <v>2.0888197579398846</v>
      </c>
      <c r="G30" s="390">
        <f t="shared" si="0"/>
        <v>1.9877208816555942</v>
      </c>
      <c r="H30" s="390">
        <f t="shared" si="1"/>
        <v>2.034175917350022</v>
      </c>
      <c r="I30" s="387"/>
      <c r="J30" s="388">
        <f t="shared" si="2"/>
        <v>1.9324671214825209</v>
      </c>
      <c r="K30" s="388">
        <f t="shared" si="3"/>
        <v>2.1358847132175232</v>
      </c>
      <c r="L30" s="1316">
        <v>2.049902780450414</v>
      </c>
      <c r="M30" s="61" t="b">
        <f t="shared" si="8"/>
        <v>1</v>
      </c>
      <c r="N30" s="857">
        <f t="shared" si="4"/>
        <v>2.049902780450414</v>
      </c>
      <c r="O30" s="15"/>
      <c r="P30" s="445">
        <f t="shared" si="13"/>
        <v>-9.5070101830562762E-2</v>
      </c>
      <c r="Q30" s="445">
        <f t="shared" si="14"/>
        <v>9.8372222601996781E-2</v>
      </c>
      <c r="R30" s="445">
        <f t="shared" si="14"/>
        <v>0</v>
      </c>
      <c r="S30" s="445">
        <f t="shared" si="14"/>
        <v>3.7059277533695151E-3</v>
      </c>
      <c r="T30" s="445">
        <f t="shared" si="14"/>
        <v>8.5828583293921956E-2</v>
      </c>
      <c r="U30" s="445">
        <f t="shared" si="14"/>
        <v>-1.1232437797568067E-2</v>
      </c>
      <c r="V30" s="445">
        <f t="shared" si="14"/>
        <v>-4.2257699215806835E-4</v>
      </c>
      <c r="W30" s="445">
        <f t="shared" si="14"/>
        <v>-3.4939708740605611E-2</v>
      </c>
      <c r="X30" s="445">
        <f t="shared" si="14"/>
        <v>2.7568630496632124E-3</v>
      </c>
      <c r="Y30" s="43"/>
      <c r="Z30" s="388">
        <f t="shared" si="9"/>
        <v>2.098901551788471</v>
      </c>
      <c r="AA30" s="43"/>
      <c r="AB30" s="462">
        <f>IF('TAR_Tab 2_Volumina'!C33="storage",1,0)</f>
        <v>0</v>
      </c>
      <c r="AC30" s="389">
        <f t="shared" si="7"/>
        <v>2.098901551788471</v>
      </c>
      <c r="AD30" s="389">
        <f t="shared" si="10"/>
        <v>2.2401390025889567</v>
      </c>
      <c r="AE30" s="43"/>
      <c r="AF30" s="1027">
        <f t="shared" si="11"/>
        <v>2.2401390025889567</v>
      </c>
      <c r="AG30" s="392">
        <f t="shared" si="12"/>
        <v>2.2400000000000002</v>
      </c>
      <c r="AH30" s="392">
        <f>AG30+'TAR_Tab 14_Overige tarieven'!$AA$14+'TAR_Tab 14_Overige tarieven'!$AA$15</f>
        <v>2.4200000000000004</v>
      </c>
      <c r="AI30" s="43"/>
    </row>
    <row r="31" spans="1:35">
      <c r="A31" s="96">
        <v>300060</v>
      </c>
      <c r="B31" s="1286" t="s">
        <v>54</v>
      </c>
      <c r="C31" s="1022"/>
      <c r="D31" s="1358"/>
      <c r="E31" s="1022"/>
      <c r="F31" s="1032">
        <v>1.9652016405684138</v>
      </c>
      <c r="G31" s="390">
        <f t="shared" si="0"/>
        <v>1.8700858811649026</v>
      </c>
      <c r="H31" s="390">
        <f t="shared" si="1"/>
        <v>1.9137916686136924</v>
      </c>
      <c r="I31" s="387"/>
      <c r="J31" s="388">
        <f t="shared" si="2"/>
        <v>1.8181020851830076</v>
      </c>
      <c r="K31" s="388">
        <f t="shared" si="3"/>
        <v>2.009481252044377</v>
      </c>
      <c r="L31" s="1316">
        <v>1.9285878026738026</v>
      </c>
      <c r="M31" s="61" t="b">
        <f t="shared" si="8"/>
        <v>1</v>
      </c>
      <c r="N31" s="857">
        <f t="shared" si="4"/>
        <v>1.9285878026738026</v>
      </c>
      <c r="O31" s="15"/>
      <c r="P31" s="445">
        <f t="shared" si="13"/>
        <v>-8.9443772913510064E-2</v>
      </c>
      <c r="Q31" s="445">
        <f t="shared" si="14"/>
        <v>9.2550471388910024E-2</v>
      </c>
      <c r="R31" s="445">
        <f t="shared" si="14"/>
        <v>0</v>
      </c>
      <c r="S31" s="445">
        <f t="shared" si="14"/>
        <v>3.4866078191124546E-3</v>
      </c>
      <c r="T31" s="445">
        <f t="shared" si="14"/>
        <v>8.0749175248720745E-2</v>
      </c>
      <c r="U31" s="445">
        <f t="shared" si="14"/>
        <v>-1.0567692642439428E-2</v>
      </c>
      <c r="V31" s="445">
        <f t="shared" si="14"/>
        <v>-3.9756852887801988E-4</v>
      </c>
      <c r="W31" s="445">
        <f t="shared" si="14"/>
        <v>-3.2871947269275489E-2</v>
      </c>
      <c r="X31" s="445">
        <f t="shared" si="14"/>
        <v>2.5937095660967541E-3</v>
      </c>
      <c r="Y31" s="43"/>
      <c r="Z31" s="388">
        <f t="shared" si="9"/>
        <v>1.9746867853425396</v>
      </c>
      <c r="AA31" s="43"/>
      <c r="AB31" s="462">
        <f>IF('TAR_Tab 2_Volumina'!C34="storage",1,0)</f>
        <v>0</v>
      </c>
      <c r="AC31" s="389">
        <f t="shared" si="7"/>
        <v>1.9746867853425396</v>
      </c>
      <c r="AD31" s="389">
        <f t="shared" si="10"/>
        <v>2.1075656845236548</v>
      </c>
      <c r="AE31" s="43"/>
      <c r="AF31" s="1027">
        <f t="shared" si="11"/>
        <v>2.1075656845236548</v>
      </c>
      <c r="AG31" s="392">
        <f t="shared" si="12"/>
        <v>2.1080000000000001</v>
      </c>
      <c r="AH31" s="392">
        <f>AG31+'TAR_Tab 14_Overige tarieven'!$AA$14+'TAR_Tab 14_Overige tarieven'!$AA$15</f>
        <v>2.2880000000000003</v>
      </c>
      <c r="AI31" s="43"/>
    </row>
    <row r="32" spans="1:35">
      <c r="A32" s="96">
        <v>300064</v>
      </c>
      <c r="B32" s="1286" t="s">
        <v>745</v>
      </c>
      <c r="C32" s="1022"/>
      <c r="D32" s="1358"/>
      <c r="E32" s="1022"/>
      <c r="F32" s="1032">
        <v>2.0888197579398846</v>
      </c>
      <c r="G32" s="390">
        <f t="shared" si="0"/>
        <v>1.9877208816555942</v>
      </c>
      <c r="H32" s="390">
        <f t="shared" si="1"/>
        <v>2.034175917350022</v>
      </c>
      <c r="I32" s="387"/>
      <c r="J32" s="388">
        <f t="shared" si="2"/>
        <v>1.9324671214825209</v>
      </c>
      <c r="K32" s="388">
        <f t="shared" si="3"/>
        <v>2.1358847132175232</v>
      </c>
      <c r="L32" s="1316">
        <v>2.049902780450414</v>
      </c>
      <c r="M32" s="61" t="b">
        <f t="shared" si="8"/>
        <v>1</v>
      </c>
      <c r="N32" s="857">
        <f t="shared" si="4"/>
        <v>2.049902780450414</v>
      </c>
      <c r="O32" s="15"/>
      <c r="P32" s="445">
        <f t="shared" si="13"/>
        <v>-9.5070101830562762E-2</v>
      </c>
      <c r="Q32" s="445">
        <f t="shared" si="14"/>
        <v>9.8372222601996781E-2</v>
      </c>
      <c r="R32" s="445">
        <f t="shared" si="14"/>
        <v>0</v>
      </c>
      <c r="S32" s="445">
        <f t="shared" si="14"/>
        <v>3.7059277533695151E-3</v>
      </c>
      <c r="T32" s="445">
        <f t="shared" si="14"/>
        <v>8.5828583293921956E-2</v>
      </c>
      <c r="U32" s="445">
        <f t="shared" si="14"/>
        <v>-1.1232437797568067E-2</v>
      </c>
      <c r="V32" s="445">
        <f t="shared" si="14"/>
        <v>-4.2257699215806835E-4</v>
      </c>
      <c r="W32" s="445">
        <f t="shared" si="14"/>
        <v>-3.4939708740605611E-2</v>
      </c>
      <c r="X32" s="445">
        <f t="shared" si="14"/>
        <v>2.7568630496632124E-3</v>
      </c>
      <c r="Y32" s="43"/>
      <c r="Z32" s="388">
        <f t="shared" si="9"/>
        <v>2.098901551788471</v>
      </c>
      <c r="AA32" s="43"/>
      <c r="AB32" s="462">
        <f>IF('TAR_Tab 2_Volumina'!C35="storage",1,0)</f>
        <v>0</v>
      </c>
      <c r="AC32" s="389">
        <f t="shared" si="7"/>
        <v>2.098901551788471</v>
      </c>
      <c r="AD32" s="389">
        <f t="shared" si="10"/>
        <v>2.2401390025889567</v>
      </c>
      <c r="AE32" s="43"/>
      <c r="AF32" s="1027">
        <f t="shared" si="11"/>
        <v>2.2401390025889567</v>
      </c>
      <c r="AG32" s="392">
        <f t="shared" si="12"/>
        <v>2.2400000000000002</v>
      </c>
      <c r="AH32" s="392">
        <f>AG32+'TAR_Tab 14_Overige tarieven'!$AA$14+'TAR_Tab 14_Overige tarieven'!$AA$15</f>
        <v>2.4200000000000004</v>
      </c>
      <c r="AI32" s="43"/>
    </row>
    <row r="33" spans="1:35">
      <c r="A33" s="96">
        <v>300066</v>
      </c>
      <c r="B33" s="1286" t="s">
        <v>746</v>
      </c>
      <c r="C33" s="1022"/>
      <c r="D33" s="1358"/>
      <c r="E33" s="1022"/>
      <c r="F33" s="1032">
        <v>2.0888197579398846</v>
      </c>
      <c r="G33" s="390">
        <f t="shared" si="0"/>
        <v>1.9877208816555942</v>
      </c>
      <c r="H33" s="390">
        <f t="shared" si="1"/>
        <v>2.034175917350022</v>
      </c>
      <c r="I33" s="387"/>
      <c r="J33" s="388">
        <f t="shared" si="2"/>
        <v>1.9324671214825209</v>
      </c>
      <c r="K33" s="388">
        <f t="shared" si="3"/>
        <v>2.1358847132175232</v>
      </c>
      <c r="L33" s="1316">
        <v>2.049902780450414</v>
      </c>
      <c r="M33" s="61" t="b">
        <f t="shared" si="8"/>
        <v>1</v>
      </c>
      <c r="N33" s="857">
        <f t="shared" si="4"/>
        <v>2.049902780450414</v>
      </c>
      <c r="O33" s="15"/>
      <c r="P33" s="445">
        <f t="shared" si="13"/>
        <v>-9.5070101830562762E-2</v>
      </c>
      <c r="Q33" s="445">
        <f t="shared" si="14"/>
        <v>9.8372222601996781E-2</v>
      </c>
      <c r="R33" s="445">
        <f t="shared" si="14"/>
        <v>0</v>
      </c>
      <c r="S33" s="445">
        <f t="shared" si="14"/>
        <v>3.7059277533695151E-3</v>
      </c>
      <c r="T33" s="445">
        <f t="shared" si="14"/>
        <v>8.5828583293921956E-2</v>
      </c>
      <c r="U33" s="445">
        <f t="shared" si="14"/>
        <v>-1.1232437797568067E-2</v>
      </c>
      <c r="V33" s="445">
        <f t="shared" si="14"/>
        <v>-4.2257699215806835E-4</v>
      </c>
      <c r="W33" s="445">
        <f t="shared" si="14"/>
        <v>-3.4939708740605611E-2</v>
      </c>
      <c r="X33" s="445">
        <f t="shared" si="14"/>
        <v>2.7568630496632124E-3</v>
      </c>
      <c r="Y33" s="43"/>
      <c r="Z33" s="388">
        <f t="shared" si="9"/>
        <v>2.098901551788471</v>
      </c>
      <c r="AA33" s="43"/>
      <c r="AB33" s="462">
        <f>IF('TAR_Tab 2_Volumina'!C36="storage",1,0)</f>
        <v>0</v>
      </c>
      <c r="AC33" s="389">
        <f t="shared" si="7"/>
        <v>2.098901551788471</v>
      </c>
      <c r="AD33" s="389">
        <f t="shared" si="10"/>
        <v>2.2401390025889567</v>
      </c>
      <c r="AE33" s="43"/>
      <c r="AF33" s="1027">
        <f t="shared" si="11"/>
        <v>2.2401390025889567</v>
      </c>
      <c r="AG33" s="392">
        <f t="shared" si="12"/>
        <v>2.2400000000000002</v>
      </c>
      <c r="AH33" s="392">
        <f>AG33+'TAR_Tab 14_Overige tarieven'!$AA$14+'TAR_Tab 14_Overige tarieven'!$AA$15</f>
        <v>2.4200000000000004</v>
      </c>
      <c r="AI33" s="43"/>
    </row>
    <row r="34" spans="1:35">
      <c r="A34" s="96">
        <v>300070</v>
      </c>
      <c r="B34" s="1286" t="s">
        <v>55</v>
      </c>
      <c r="C34" s="1022"/>
      <c r="D34" s="1358"/>
      <c r="E34" s="1022"/>
      <c r="F34" s="1032">
        <v>2.2872640313252242</v>
      </c>
      <c r="G34" s="390">
        <f t="shared" si="0"/>
        <v>2.1765604522090833</v>
      </c>
      <c r="H34" s="390">
        <f t="shared" si="1"/>
        <v>2.2274288585490294</v>
      </c>
      <c r="I34" s="387"/>
      <c r="J34" s="388">
        <f t="shared" si="2"/>
        <v>2.1160574156215777</v>
      </c>
      <c r="K34" s="388">
        <f t="shared" si="3"/>
        <v>2.3388003014764811</v>
      </c>
      <c r="L34" s="1316">
        <v>2.2446498218027378</v>
      </c>
      <c r="M34" s="61" t="b">
        <f t="shared" si="8"/>
        <v>1</v>
      </c>
      <c r="N34" s="857">
        <f t="shared" si="4"/>
        <v>2.2446498218027378</v>
      </c>
      <c r="O34" s="15"/>
      <c r="P34" s="445">
        <f t="shared" si="13"/>
        <v>-0.10410205262800405</v>
      </c>
      <c r="Q34" s="445">
        <f t="shared" si="14"/>
        <v>0.10771788498447409</v>
      </c>
      <c r="R34" s="445">
        <f t="shared" si="14"/>
        <v>0</v>
      </c>
      <c r="S34" s="445">
        <f t="shared" si="14"/>
        <v>4.0580022382265962E-3</v>
      </c>
      <c r="T34" s="445">
        <f t="shared" si="14"/>
        <v>9.3982561531016751E-2</v>
      </c>
      <c r="U34" s="445">
        <f t="shared" si="14"/>
        <v>-1.2299553784292934E-2</v>
      </c>
      <c r="V34" s="445">
        <f t="shared" si="14"/>
        <v>-4.6272310042778128E-4</v>
      </c>
      <c r="W34" s="445">
        <f t="shared" si="14"/>
        <v>-3.8259088063292208E-2</v>
      </c>
      <c r="X34" s="445">
        <f t="shared" si="14"/>
        <v>3.0187734814435363E-3</v>
      </c>
      <c r="Y34" s="43"/>
      <c r="Z34" s="388">
        <f t="shared" si="9"/>
        <v>2.2983036264618817</v>
      </c>
      <c r="AA34" s="43"/>
      <c r="AB34" s="462">
        <f>IF('TAR_Tab 2_Volumina'!C37="storage",1,0)</f>
        <v>0</v>
      </c>
      <c r="AC34" s="389">
        <f t="shared" si="7"/>
        <v>2.2983036264618817</v>
      </c>
      <c r="AD34" s="389">
        <f t="shared" si="10"/>
        <v>2.452959067585545</v>
      </c>
      <c r="AE34" s="43"/>
      <c r="AF34" s="1027">
        <f t="shared" si="11"/>
        <v>2.452959067585545</v>
      </c>
      <c r="AG34" s="392">
        <f t="shared" si="12"/>
        <v>2.4529999999999998</v>
      </c>
      <c r="AH34" s="392">
        <f>AG34+'TAR_Tab 14_Overige tarieven'!$AA$14+'TAR_Tab 14_Overige tarieven'!$AA$15</f>
        <v>2.633</v>
      </c>
      <c r="AI34" s="43"/>
    </row>
    <row r="35" spans="1:35">
      <c r="A35" s="96">
        <v>300071</v>
      </c>
      <c r="B35" s="1286" t="s">
        <v>56</v>
      </c>
      <c r="C35" s="1022"/>
      <c r="D35" s="1358"/>
      <c r="E35" s="1022"/>
      <c r="F35" s="1032">
        <v>1.9652016405684138</v>
      </c>
      <c r="G35" s="390">
        <f t="shared" si="0"/>
        <v>1.8700858811649026</v>
      </c>
      <c r="H35" s="390">
        <f t="shared" si="1"/>
        <v>1.9137916686136924</v>
      </c>
      <c r="I35" s="387"/>
      <c r="J35" s="388">
        <f t="shared" si="2"/>
        <v>1.8181020851830076</v>
      </c>
      <c r="K35" s="388">
        <f t="shared" si="3"/>
        <v>2.009481252044377</v>
      </c>
      <c r="L35" s="1316">
        <v>1.9285878026738026</v>
      </c>
      <c r="M35" s="61" t="b">
        <f t="shared" si="8"/>
        <v>1</v>
      </c>
      <c r="N35" s="857">
        <f t="shared" si="4"/>
        <v>1.9285878026738026</v>
      </c>
      <c r="O35" s="15"/>
      <c r="P35" s="445">
        <f t="shared" si="13"/>
        <v>-8.9443772913510064E-2</v>
      </c>
      <c r="Q35" s="445">
        <f t="shared" si="14"/>
        <v>9.2550471388910024E-2</v>
      </c>
      <c r="R35" s="445">
        <f t="shared" si="14"/>
        <v>0</v>
      </c>
      <c r="S35" s="445">
        <f t="shared" si="14"/>
        <v>3.4866078191124546E-3</v>
      </c>
      <c r="T35" s="445">
        <f t="shared" si="14"/>
        <v>8.0749175248720745E-2</v>
      </c>
      <c r="U35" s="445">
        <f t="shared" si="14"/>
        <v>-1.0567692642439428E-2</v>
      </c>
      <c r="V35" s="445">
        <f t="shared" si="14"/>
        <v>-3.9756852887801988E-4</v>
      </c>
      <c r="W35" s="445">
        <f t="shared" si="14"/>
        <v>-3.2871947269275489E-2</v>
      </c>
      <c r="X35" s="445">
        <f t="shared" si="14"/>
        <v>2.5937095660967541E-3</v>
      </c>
      <c r="Y35" s="43"/>
      <c r="Z35" s="388">
        <f t="shared" si="9"/>
        <v>1.9746867853425396</v>
      </c>
      <c r="AA35" s="43"/>
      <c r="AB35" s="462">
        <f>IF('TAR_Tab 2_Volumina'!C38="storage",1,0)</f>
        <v>0</v>
      </c>
      <c r="AC35" s="389">
        <f t="shared" si="7"/>
        <v>1.9746867853425396</v>
      </c>
      <c r="AD35" s="389">
        <f t="shared" si="10"/>
        <v>2.1075656845236548</v>
      </c>
      <c r="AE35" s="43"/>
      <c r="AF35" s="1027">
        <f t="shared" si="11"/>
        <v>2.1075656845236548</v>
      </c>
      <c r="AG35" s="392">
        <f t="shared" si="12"/>
        <v>2.1080000000000001</v>
      </c>
      <c r="AH35" s="392">
        <f>AG35+'TAR_Tab 14_Overige tarieven'!$AA$14+'TAR_Tab 14_Overige tarieven'!$AA$15</f>
        <v>2.2880000000000003</v>
      </c>
      <c r="AI35" s="43"/>
    </row>
    <row r="36" spans="1:35">
      <c r="A36" s="96">
        <v>300072</v>
      </c>
      <c r="B36" s="1286" t="s">
        <v>24</v>
      </c>
      <c r="C36" s="1022"/>
      <c r="D36" s="1358"/>
      <c r="E36" s="1022"/>
      <c r="F36" s="1032">
        <v>1.9652016405684138</v>
      </c>
      <c r="G36" s="390">
        <f t="shared" si="0"/>
        <v>1.8700858811649026</v>
      </c>
      <c r="H36" s="390">
        <f t="shared" si="1"/>
        <v>1.9137916686136924</v>
      </c>
      <c r="I36" s="387"/>
      <c r="J36" s="388">
        <f t="shared" si="2"/>
        <v>1.8181020851830076</v>
      </c>
      <c r="K36" s="388">
        <f t="shared" si="3"/>
        <v>2.009481252044377</v>
      </c>
      <c r="L36" s="1316">
        <v>1.9285878026738026</v>
      </c>
      <c r="M36" s="61" t="b">
        <f t="shared" si="8"/>
        <v>1</v>
      </c>
      <c r="N36" s="857">
        <f t="shared" si="4"/>
        <v>1.9285878026738026</v>
      </c>
      <c r="O36" s="15"/>
      <c r="P36" s="445">
        <f t="shared" si="13"/>
        <v>-8.9443772913510064E-2</v>
      </c>
      <c r="Q36" s="445">
        <f t="shared" si="14"/>
        <v>9.2550471388910024E-2</v>
      </c>
      <c r="R36" s="445">
        <f t="shared" si="14"/>
        <v>0</v>
      </c>
      <c r="S36" s="445">
        <f t="shared" si="14"/>
        <v>3.4866078191124546E-3</v>
      </c>
      <c r="T36" s="445">
        <f t="shared" si="14"/>
        <v>8.0749175248720745E-2</v>
      </c>
      <c r="U36" s="445">
        <f t="shared" si="14"/>
        <v>-1.0567692642439428E-2</v>
      </c>
      <c r="V36" s="445">
        <f t="shared" si="14"/>
        <v>-3.9756852887801988E-4</v>
      </c>
      <c r="W36" s="445">
        <f t="shared" si="14"/>
        <v>-3.2871947269275489E-2</v>
      </c>
      <c r="X36" s="445">
        <f t="shared" si="14"/>
        <v>2.5937095660967541E-3</v>
      </c>
      <c r="Y36" s="43"/>
      <c r="Z36" s="388">
        <f t="shared" si="9"/>
        <v>1.9746867853425396</v>
      </c>
      <c r="AA36" s="43"/>
      <c r="AB36" s="462">
        <f>IF('TAR_Tab 2_Volumina'!C39="storage",1,0)</f>
        <v>0</v>
      </c>
      <c r="AC36" s="389">
        <f t="shared" si="7"/>
        <v>1.9746867853425396</v>
      </c>
      <c r="AD36" s="389">
        <f t="shared" si="10"/>
        <v>2.1075656845236548</v>
      </c>
      <c r="AE36" s="43"/>
      <c r="AF36" s="1027">
        <f t="shared" si="11"/>
        <v>2.1075656845236548</v>
      </c>
      <c r="AG36" s="392">
        <f t="shared" si="12"/>
        <v>2.1080000000000001</v>
      </c>
      <c r="AH36" s="392">
        <f>AG36+'TAR_Tab 14_Overige tarieven'!$AA$14+'TAR_Tab 14_Overige tarieven'!$AA$15</f>
        <v>2.2880000000000003</v>
      </c>
      <c r="AI36" s="43"/>
    </row>
    <row r="37" spans="1:35">
      <c r="A37" s="96">
        <v>300073</v>
      </c>
      <c r="B37" s="1286" t="s">
        <v>57</v>
      </c>
      <c r="C37" s="1022"/>
      <c r="D37" s="1358"/>
      <c r="E37" s="1022"/>
      <c r="F37" s="1032">
        <v>2.3378358116919968</v>
      </c>
      <c r="G37" s="390">
        <f t="shared" si="0"/>
        <v>2.2246845584061044</v>
      </c>
      <c r="H37" s="390">
        <f t="shared" si="1"/>
        <v>2.276677673497554</v>
      </c>
      <c r="I37" s="387"/>
      <c r="J37" s="388">
        <f t="shared" si="2"/>
        <v>2.1628437898226762</v>
      </c>
      <c r="K37" s="388">
        <f t="shared" si="3"/>
        <v>2.3905115571724318</v>
      </c>
      <c r="L37" s="1316">
        <v>2.2942793950543892</v>
      </c>
      <c r="M37" s="61" t="b">
        <f t="shared" si="8"/>
        <v>1</v>
      </c>
      <c r="N37" s="857">
        <f t="shared" si="4"/>
        <v>2.2942793950543892</v>
      </c>
      <c r="O37" s="15"/>
      <c r="P37" s="445">
        <f t="shared" si="13"/>
        <v>-0.10640376597160231</v>
      </c>
      <c r="Q37" s="445">
        <f t="shared" si="14"/>
        <v>0.11009954497055441</v>
      </c>
      <c r="R37" s="445">
        <f t="shared" si="14"/>
        <v>0</v>
      </c>
      <c r="S37" s="445">
        <f t="shared" si="14"/>
        <v>4.1477253288312969E-3</v>
      </c>
      <c r="T37" s="445">
        <f t="shared" si="14"/>
        <v>9.6060531277823588E-2</v>
      </c>
      <c r="U37" s="445">
        <f t="shared" si="14"/>
        <v>-1.2571498922269934E-2</v>
      </c>
      <c r="V37" s="445">
        <f t="shared" si="14"/>
        <v>-4.7295398356369433E-4</v>
      </c>
      <c r="W37" s="445">
        <f t="shared" si="14"/>
        <v>-3.9105002733427069E-2</v>
      </c>
      <c r="X37" s="445">
        <f t="shared" si="14"/>
        <v>3.0855190549277426E-3</v>
      </c>
      <c r="Y37" s="43"/>
      <c r="Z37" s="388">
        <f t="shared" si="9"/>
        <v>2.349119494075663</v>
      </c>
      <c r="AA37" s="43"/>
      <c r="AB37" s="462">
        <f>IF('TAR_Tab 2_Volumina'!C40="storage",1,0)</f>
        <v>0</v>
      </c>
      <c r="AC37" s="389">
        <f t="shared" si="7"/>
        <v>2.349119494075663</v>
      </c>
      <c r="AD37" s="389">
        <f t="shared" si="10"/>
        <v>2.5071943921985698</v>
      </c>
      <c r="AE37" s="43"/>
      <c r="AF37" s="1027">
        <f t="shared" si="11"/>
        <v>2.5071943921985698</v>
      </c>
      <c r="AG37" s="392">
        <f t="shared" si="12"/>
        <v>2.5070000000000001</v>
      </c>
      <c r="AH37" s="392">
        <f>AG37+'TAR_Tab 14_Overige tarieven'!$AA$14+'TAR_Tab 14_Overige tarieven'!$AA$15</f>
        <v>2.6870000000000003</v>
      </c>
      <c r="AI37" s="43"/>
    </row>
    <row r="38" spans="1:35">
      <c r="A38" s="96">
        <v>300074</v>
      </c>
      <c r="B38" s="1286" t="s">
        <v>58</v>
      </c>
      <c r="C38" s="1022"/>
      <c r="D38" s="1358"/>
      <c r="E38" s="1022"/>
      <c r="F38" s="1032">
        <v>2.2358050267414917</v>
      </c>
      <c r="G38" s="390">
        <f t="shared" si="0"/>
        <v>2.1275920634472034</v>
      </c>
      <c r="H38" s="390">
        <f t="shared" si="1"/>
        <v>2.1773160293031633</v>
      </c>
      <c r="I38" s="387"/>
      <c r="J38" s="388">
        <f t="shared" si="2"/>
        <v>2.0684502278380048</v>
      </c>
      <c r="K38" s="388">
        <f t="shared" si="3"/>
        <v>2.2861818307683217</v>
      </c>
      <c r="L38" s="1316">
        <v>2.1941495542835141</v>
      </c>
      <c r="M38" s="61" t="b">
        <f t="shared" si="8"/>
        <v>1</v>
      </c>
      <c r="N38" s="857">
        <f t="shared" si="4"/>
        <v>2.1941495542835141</v>
      </c>
      <c r="O38" s="15"/>
      <c r="P38" s="445">
        <f t="shared" si="13"/>
        <v>-0.10175995834855323</v>
      </c>
      <c r="Q38" s="445">
        <f t="shared" si="14"/>
        <v>0.10529444148986605</v>
      </c>
      <c r="R38" s="445">
        <f t="shared" si="14"/>
        <v>0</v>
      </c>
      <c r="S38" s="445">
        <f t="shared" si="14"/>
        <v>3.966705058313042E-3</v>
      </c>
      <c r="T38" s="445">
        <f t="shared" si="14"/>
        <v>9.1868136174616838E-2</v>
      </c>
      <c r="U38" s="445">
        <f t="shared" si="14"/>
        <v>-1.2022837678983008E-2</v>
      </c>
      <c r="V38" s="445">
        <f t="shared" si="14"/>
        <v>-4.5231272811404536E-4</v>
      </c>
      <c r="W38" s="445">
        <f t="shared" si="14"/>
        <v>-3.7398332784909373E-2</v>
      </c>
      <c r="X38" s="445">
        <f t="shared" si="14"/>
        <v>2.9508569329859242E-3</v>
      </c>
      <c r="Y38" s="43"/>
      <c r="Z38" s="388">
        <f t="shared" si="9"/>
        <v>2.2465962523987364</v>
      </c>
      <c r="AA38" s="43"/>
      <c r="AB38" s="462">
        <f>IF('TAR_Tab 2_Volumina'!C41="storage",1,0)</f>
        <v>0</v>
      </c>
      <c r="AC38" s="389">
        <f t="shared" si="7"/>
        <v>2.2465962523987364</v>
      </c>
      <c r="AD38" s="389">
        <f t="shared" si="10"/>
        <v>2.3977722460494859</v>
      </c>
      <c r="AE38" s="43"/>
      <c r="AF38" s="1027">
        <f t="shared" si="11"/>
        <v>2.3977722460494859</v>
      </c>
      <c r="AG38" s="392">
        <f t="shared" si="12"/>
        <v>2.3980000000000001</v>
      </c>
      <c r="AH38" s="392">
        <f>AG38+'TAR_Tab 14_Overige tarieven'!$AA$14+'TAR_Tab 14_Overige tarieven'!$AA$15</f>
        <v>2.5780000000000003</v>
      </c>
      <c r="AI38" s="43"/>
    </row>
    <row r="39" spans="1:35">
      <c r="A39" s="96">
        <v>300075</v>
      </c>
      <c r="B39" s="1286" t="s">
        <v>1197</v>
      </c>
      <c r="C39" s="1022"/>
      <c r="D39" s="1358"/>
      <c r="E39" s="1022"/>
      <c r="F39" s="1032">
        <v>2.2872640313252242</v>
      </c>
      <c r="G39" s="390">
        <f t="shared" si="0"/>
        <v>2.1765604522090833</v>
      </c>
      <c r="H39" s="390">
        <f t="shared" si="1"/>
        <v>2.2274288585490294</v>
      </c>
      <c r="I39" s="387"/>
      <c r="J39" s="388">
        <f t="shared" si="2"/>
        <v>2.1160574156215777</v>
      </c>
      <c r="K39" s="388">
        <f t="shared" si="3"/>
        <v>2.3388003014764811</v>
      </c>
      <c r="L39" s="1316">
        <v>2.2446498218027378</v>
      </c>
      <c r="M39" s="61" t="b">
        <f t="shared" si="8"/>
        <v>1</v>
      </c>
      <c r="N39" s="857">
        <f t="shared" si="4"/>
        <v>2.2446498218027378</v>
      </c>
      <c r="O39" s="15"/>
      <c r="P39" s="445">
        <f t="shared" si="13"/>
        <v>-0.10410205262800405</v>
      </c>
      <c r="Q39" s="445">
        <f t="shared" si="14"/>
        <v>0.10771788498447409</v>
      </c>
      <c r="R39" s="445">
        <f t="shared" si="14"/>
        <v>0</v>
      </c>
      <c r="S39" s="445">
        <f t="shared" si="14"/>
        <v>4.0580022382265962E-3</v>
      </c>
      <c r="T39" s="445">
        <f t="shared" si="14"/>
        <v>9.3982561531016751E-2</v>
      </c>
      <c r="U39" s="445">
        <f t="shared" si="14"/>
        <v>-1.2299553784292934E-2</v>
      </c>
      <c r="V39" s="445">
        <f t="shared" si="14"/>
        <v>-4.6272310042778128E-4</v>
      </c>
      <c r="W39" s="445">
        <f t="shared" si="14"/>
        <v>-3.8259088063292208E-2</v>
      </c>
      <c r="X39" s="445">
        <f t="shared" si="14"/>
        <v>3.0187734814435363E-3</v>
      </c>
      <c r="Y39" s="43"/>
      <c r="Z39" s="388">
        <f t="shared" si="9"/>
        <v>2.2983036264618817</v>
      </c>
      <c r="AA39" s="43"/>
      <c r="AB39" s="462">
        <f>IF('TAR_Tab 2_Volumina'!C42="storage",1,0)</f>
        <v>0</v>
      </c>
      <c r="AC39" s="389">
        <f t="shared" si="7"/>
        <v>2.2983036264618817</v>
      </c>
      <c r="AD39" s="389">
        <f t="shared" si="10"/>
        <v>2.452959067585545</v>
      </c>
      <c r="AE39" s="43"/>
      <c r="AF39" s="1027">
        <f t="shared" si="11"/>
        <v>2.452959067585545</v>
      </c>
      <c r="AG39" s="392">
        <f t="shared" si="12"/>
        <v>2.4529999999999998</v>
      </c>
      <c r="AH39" s="392">
        <f>AG39+'TAR_Tab 14_Overige tarieven'!$AA$14+'TAR_Tab 14_Overige tarieven'!$AA$15</f>
        <v>2.633</v>
      </c>
      <c r="AI39" s="43"/>
    </row>
    <row r="40" spans="1:35">
      <c r="A40" s="96">
        <v>300076</v>
      </c>
      <c r="B40" s="1286" t="s">
        <v>25</v>
      </c>
      <c r="C40" s="1022"/>
      <c r="D40" s="1358"/>
      <c r="E40" s="1022"/>
      <c r="F40" s="1032">
        <v>2.2872640313252242</v>
      </c>
      <c r="G40" s="390">
        <f t="shared" si="0"/>
        <v>2.1765604522090833</v>
      </c>
      <c r="H40" s="390">
        <f t="shared" si="1"/>
        <v>2.2274288585490294</v>
      </c>
      <c r="I40" s="387"/>
      <c r="J40" s="388">
        <f t="shared" si="2"/>
        <v>2.1160574156215777</v>
      </c>
      <c r="K40" s="388">
        <f t="shared" si="3"/>
        <v>2.3388003014764811</v>
      </c>
      <c r="L40" s="1316">
        <v>2.2446498218027378</v>
      </c>
      <c r="M40" s="61" t="b">
        <f t="shared" si="8"/>
        <v>1</v>
      </c>
      <c r="N40" s="857">
        <f t="shared" si="4"/>
        <v>2.2446498218027378</v>
      </c>
      <c r="O40" s="15"/>
      <c r="P40" s="445">
        <f t="shared" si="13"/>
        <v>-0.10410205262800405</v>
      </c>
      <c r="Q40" s="445">
        <f t="shared" si="14"/>
        <v>0.10771788498447409</v>
      </c>
      <c r="R40" s="445">
        <f t="shared" si="14"/>
        <v>0</v>
      </c>
      <c r="S40" s="445">
        <f t="shared" si="14"/>
        <v>4.0580022382265962E-3</v>
      </c>
      <c r="T40" s="445">
        <f t="shared" si="14"/>
        <v>9.3982561531016751E-2</v>
      </c>
      <c r="U40" s="445">
        <f t="shared" si="14"/>
        <v>-1.2299553784292934E-2</v>
      </c>
      <c r="V40" s="445">
        <f t="shared" si="14"/>
        <v>-4.6272310042778128E-4</v>
      </c>
      <c r="W40" s="445">
        <f t="shared" si="14"/>
        <v>-3.8259088063292208E-2</v>
      </c>
      <c r="X40" s="445">
        <f t="shared" si="14"/>
        <v>3.0187734814435363E-3</v>
      </c>
      <c r="Y40" s="43"/>
      <c r="Z40" s="388">
        <f t="shared" si="9"/>
        <v>2.2983036264618817</v>
      </c>
      <c r="AA40" s="43"/>
      <c r="AB40" s="462">
        <f>IF('TAR_Tab 2_Volumina'!C43="storage",1,0)</f>
        <v>0</v>
      </c>
      <c r="AC40" s="389">
        <f t="shared" si="7"/>
        <v>2.2983036264618817</v>
      </c>
      <c r="AD40" s="389">
        <f t="shared" si="10"/>
        <v>2.452959067585545</v>
      </c>
      <c r="AE40" s="43"/>
      <c r="AF40" s="1027">
        <f t="shared" si="11"/>
        <v>2.452959067585545</v>
      </c>
      <c r="AG40" s="392">
        <f t="shared" si="12"/>
        <v>2.4529999999999998</v>
      </c>
      <c r="AH40" s="392">
        <f>AG40+'TAR_Tab 14_Overige tarieven'!$AA$14+'TAR_Tab 14_Overige tarieven'!$AA$15</f>
        <v>2.633</v>
      </c>
      <c r="AI40" s="43"/>
    </row>
    <row r="41" spans="1:35">
      <c r="A41" s="96">
        <v>300078</v>
      </c>
      <c r="B41" s="1286" t="s">
        <v>59</v>
      </c>
      <c r="C41" s="1022"/>
      <c r="D41" s="1358"/>
      <c r="E41" s="1022"/>
      <c r="F41" s="1032">
        <v>2.2872640313252242</v>
      </c>
      <c r="G41" s="390">
        <f t="shared" si="0"/>
        <v>2.1765604522090833</v>
      </c>
      <c r="H41" s="390">
        <f t="shared" si="1"/>
        <v>2.2274288585490294</v>
      </c>
      <c r="I41" s="387"/>
      <c r="J41" s="388">
        <f t="shared" si="2"/>
        <v>2.1160574156215777</v>
      </c>
      <c r="K41" s="388">
        <f t="shared" si="3"/>
        <v>2.3388003014764811</v>
      </c>
      <c r="L41" s="1316">
        <v>2.2446498218027378</v>
      </c>
      <c r="M41" s="61" t="b">
        <f t="shared" si="8"/>
        <v>1</v>
      </c>
      <c r="N41" s="857">
        <f t="shared" si="4"/>
        <v>2.2446498218027378</v>
      </c>
      <c r="O41" s="15"/>
      <c r="P41" s="445">
        <f t="shared" si="13"/>
        <v>-0.10410205262800405</v>
      </c>
      <c r="Q41" s="445">
        <f t="shared" si="14"/>
        <v>0.10771788498447409</v>
      </c>
      <c r="R41" s="445">
        <f t="shared" si="14"/>
        <v>0</v>
      </c>
      <c r="S41" s="445">
        <f t="shared" si="14"/>
        <v>4.0580022382265962E-3</v>
      </c>
      <c r="T41" s="445">
        <f t="shared" si="14"/>
        <v>9.3982561531016751E-2</v>
      </c>
      <c r="U41" s="445">
        <f t="shared" si="14"/>
        <v>-1.2299553784292934E-2</v>
      </c>
      <c r="V41" s="445">
        <f t="shared" si="14"/>
        <v>-4.6272310042778128E-4</v>
      </c>
      <c r="W41" s="445">
        <f t="shared" si="14"/>
        <v>-3.8259088063292208E-2</v>
      </c>
      <c r="X41" s="445">
        <f t="shared" si="14"/>
        <v>3.0187734814435363E-3</v>
      </c>
      <c r="Y41" s="43"/>
      <c r="Z41" s="388">
        <f t="shared" si="9"/>
        <v>2.2983036264618817</v>
      </c>
      <c r="AA41" s="43"/>
      <c r="AB41" s="462">
        <f>IF('TAR_Tab 2_Volumina'!C44="storage",1,0)</f>
        <v>0</v>
      </c>
      <c r="AC41" s="389">
        <f t="shared" si="7"/>
        <v>2.2983036264618817</v>
      </c>
      <c r="AD41" s="389">
        <f t="shared" si="10"/>
        <v>2.452959067585545</v>
      </c>
      <c r="AE41" s="43"/>
      <c r="AF41" s="1027">
        <f t="shared" si="11"/>
        <v>2.452959067585545</v>
      </c>
      <c r="AG41" s="392">
        <f t="shared" si="12"/>
        <v>2.4529999999999998</v>
      </c>
      <c r="AH41" s="392">
        <f>AG41+'TAR_Tab 14_Overige tarieven'!$AA$14+'TAR_Tab 14_Overige tarieven'!$AA$15</f>
        <v>2.633</v>
      </c>
      <c r="AI41" s="43"/>
    </row>
    <row r="42" spans="1:35">
      <c r="A42" s="96">
        <v>300081</v>
      </c>
      <c r="B42" s="1286" t="s">
        <v>26</v>
      </c>
      <c r="C42" s="1022"/>
      <c r="D42" s="1358"/>
      <c r="E42" s="1022"/>
      <c r="F42" s="1032">
        <v>1.9758483311719455</v>
      </c>
      <c r="G42" s="390">
        <f t="shared" si="0"/>
        <v>1.8802172719432233</v>
      </c>
      <c r="H42" s="390">
        <f t="shared" si="1"/>
        <v>1.9241598401818034</v>
      </c>
      <c r="I42" s="387"/>
      <c r="J42" s="388">
        <f t="shared" si="2"/>
        <v>1.8279518481727131</v>
      </c>
      <c r="K42" s="388">
        <f t="shared" si="3"/>
        <v>2.0203678321908938</v>
      </c>
      <c r="L42" s="1316">
        <v>1.9390361338846771</v>
      </c>
      <c r="M42" s="61" t="b">
        <f t="shared" si="8"/>
        <v>1</v>
      </c>
      <c r="N42" s="857">
        <f t="shared" si="4"/>
        <v>1.9390361338846771</v>
      </c>
      <c r="O42" s="15"/>
      <c r="P42" s="445">
        <f t="shared" si="13"/>
        <v>-8.992834414374129E-2</v>
      </c>
      <c r="Q42" s="445">
        <f t="shared" si="14"/>
        <v>9.3051873491242748E-2</v>
      </c>
      <c r="R42" s="445">
        <f t="shared" si="14"/>
        <v>0</v>
      </c>
      <c r="S42" s="445">
        <f t="shared" si="14"/>
        <v>3.5054968908187082E-3</v>
      </c>
      <c r="T42" s="445">
        <f t="shared" si="14"/>
        <v>8.1186642563837993E-2</v>
      </c>
      <c r="U42" s="445">
        <f t="shared" si="14"/>
        <v>-1.0624944250434589E-2</v>
      </c>
      <c r="V42" s="445">
        <f t="shared" si="14"/>
        <v>-3.9972239901189647E-4</v>
      </c>
      <c r="W42" s="445">
        <f t="shared" si="14"/>
        <v>-3.3050034568251264E-2</v>
      </c>
      <c r="X42" s="445">
        <f t="shared" si="14"/>
        <v>2.60776126577764E-3</v>
      </c>
      <c r="Y42" s="43"/>
      <c r="Z42" s="388">
        <f t="shared" si="9"/>
        <v>1.9853848627349151</v>
      </c>
      <c r="AA42" s="43"/>
      <c r="AB42" s="462">
        <f>IF('TAR_Tab 2_Volumina'!C45="storage",1,0)</f>
        <v>0</v>
      </c>
      <c r="AC42" s="389">
        <f t="shared" si="7"/>
        <v>1.9853848627349151</v>
      </c>
      <c r="AD42" s="389">
        <f t="shared" si="10"/>
        <v>2.1189836476000812</v>
      </c>
      <c r="AE42" s="43"/>
      <c r="AF42" s="1027">
        <f t="shared" si="11"/>
        <v>2.1189836476000812</v>
      </c>
      <c r="AG42" s="392">
        <f t="shared" si="12"/>
        <v>2.1190000000000002</v>
      </c>
      <c r="AH42" s="392">
        <f>AG42+'TAR_Tab 14_Overige tarieven'!$AA$14+'TAR_Tab 14_Overige tarieven'!$AA$15</f>
        <v>2.2990000000000004</v>
      </c>
      <c r="AI42" s="43"/>
    </row>
    <row r="43" spans="1:35">
      <c r="A43" s="96">
        <v>300082</v>
      </c>
      <c r="B43" s="1286" t="s">
        <v>747</v>
      </c>
      <c r="C43" s="1022"/>
      <c r="D43" s="1358"/>
      <c r="E43" s="1022"/>
      <c r="F43" s="1032">
        <v>2.3378358116919968</v>
      </c>
      <c r="G43" s="390">
        <f t="shared" si="0"/>
        <v>2.2246845584061044</v>
      </c>
      <c r="H43" s="390">
        <f t="shared" si="1"/>
        <v>2.276677673497554</v>
      </c>
      <c r="I43" s="387"/>
      <c r="J43" s="388">
        <f t="shared" si="2"/>
        <v>2.1628437898226762</v>
      </c>
      <c r="K43" s="388">
        <f t="shared" si="3"/>
        <v>2.3905115571724318</v>
      </c>
      <c r="L43" s="1316">
        <v>2.2942793950543892</v>
      </c>
      <c r="M43" s="61" t="b">
        <f t="shared" si="8"/>
        <v>1</v>
      </c>
      <c r="N43" s="857">
        <f t="shared" si="4"/>
        <v>2.2942793950543892</v>
      </c>
      <c r="O43" s="15"/>
      <c r="P43" s="445">
        <f t="shared" si="13"/>
        <v>-0.10640376597160231</v>
      </c>
      <c r="Q43" s="445">
        <f t="shared" si="14"/>
        <v>0.11009954497055441</v>
      </c>
      <c r="R43" s="445">
        <f t="shared" si="14"/>
        <v>0</v>
      </c>
      <c r="S43" s="445">
        <f t="shared" si="14"/>
        <v>4.1477253288312969E-3</v>
      </c>
      <c r="T43" s="445">
        <f t="shared" si="14"/>
        <v>9.6060531277823588E-2</v>
      </c>
      <c r="U43" s="445">
        <f t="shared" si="14"/>
        <v>-1.2571498922269934E-2</v>
      </c>
      <c r="V43" s="445">
        <f t="shared" si="14"/>
        <v>-4.7295398356369433E-4</v>
      </c>
      <c r="W43" s="445">
        <f t="shared" si="14"/>
        <v>-3.9105002733427069E-2</v>
      </c>
      <c r="X43" s="445">
        <f t="shared" si="14"/>
        <v>3.0855190549277426E-3</v>
      </c>
      <c r="Y43" s="43"/>
      <c r="Z43" s="388">
        <f t="shared" si="9"/>
        <v>2.349119494075663</v>
      </c>
      <c r="AA43" s="43"/>
      <c r="AB43" s="462">
        <f>IF('TAR_Tab 2_Volumina'!C46="storage",1,0)</f>
        <v>0</v>
      </c>
      <c r="AC43" s="389">
        <f t="shared" si="7"/>
        <v>2.349119494075663</v>
      </c>
      <c r="AD43" s="389">
        <f t="shared" si="10"/>
        <v>2.5071943921985698</v>
      </c>
      <c r="AE43" s="43"/>
      <c r="AF43" s="1027">
        <f t="shared" si="11"/>
        <v>2.5071943921985698</v>
      </c>
      <c r="AG43" s="392">
        <f t="shared" si="12"/>
        <v>2.5070000000000001</v>
      </c>
      <c r="AH43" s="392">
        <f>AG43+'TAR_Tab 14_Overige tarieven'!$AA$14+'TAR_Tab 14_Overige tarieven'!$AA$15</f>
        <v>2.6870000000000003</v>
      </c>
      <c r="AI43" s="43"/>
    </row>
    <row r="44" spans="1:35">
      <c r="A44" s="96">
        <v>300083</v>
      </c>
      <c r="B44" s="1286" t="s">
        <v>60</v>
      </c>
      <c r="C44" s="1022"/>
      <c r="D44" s="1358"/>
      <c r="E44" s="1022"/>
      <c r="F44" s="1032">
        <v>1.9758483311719455</v>
      </c>
      <c r="G44" s="390">
        <f t="shared" si="0"/>
        <v>1.8802172719432233</v>
      </c>
      <c r="H44" s="390">
        <f t="shared" si="1"/>
        <v>1.9241598401818034</v>
      </c>
      <c r="I44" s="387"/>
      <c r="J44" s="388">
        <f t="shared" si="2"/>
        <v>1.8279518481727131</v>
      </c>
      <c r="K44" s="388">
        <f t="shared" si="3"/>
        <v>2.0203678321908938</v>
      </c>
      <c r="L44" s="1316">
        <v>1.9390361338846771</v>
      </c>
      <c r="M44" s="61" t="b">
        <f t="shared" si="8"/>
        <v>1</v>
      </c>
      <c r="N44" s="857">
        <f t="shared" si="4"/>
        <v>1.9390361338846771</v>
      </c>
      <c r="O44" s="15"/>
      <c r="P44" s="445">
        <f t="shared" si="13"/>
        <v>-8.992834414374129E-2</v>
      </c>
      <c r="Q44" s="445">
        <f t="shared" si="14"/>
        <v>9.3051873491242748E-2</v>
      </c>
      <c r="R44" s="445">
        <f t="shared" si="14"/>
        <v>0</v>
      </c>
      <c r="S44" s="445">
        <f t="shared" si="14"/>
        <v>3.5054968908187082E-3</v>
      </c>
      <c r="T44" s="445">
        <f t="shared" si="14"/>
        <v>8.1186642563837993E-2</v>
      </c>
      <c r="U44" s="445">
        <f t="shared" si="14"/>
        <v>-1.0624944250434589E-2</v>
      </c>
      <c r="V44" s="445">
        <f t="shared" si="14"/>
        <v>-3.9972239901189647E-4</v>
      </c>
      <c r="W44" s="445">
        <f t="shared" si="14"/>
        <v>-3.3050034568251264E-2</v>
      </c>
      <c r="X44" s="445">
        <f t="shared" si="14"/>
        <v>2.60776126577764E-3</v>
      </c>
      <c r="Y44" s="43"/>
      <c r="Z44" s="388">
        <f t="shared" si="9"/>
        <v>1.9853848627349151</v>
      </c>
      <c r="AA44" s="43"/>
      <c r="AB44" s="462">
        <f>IF('TAR_Tab 2_Volumina'!C47="storage",1,0)</f>
        <v>0</v>
      </c>
      <c r="AC44" s="389">
        <f t="shared" si="7"/>
        <v>1.9853848627349151</v>
      </c>
      <c r="AD44" s="389">
        <f t="shared" si="10"/>
        <v>2.1189836476000812</v>
      </c>
      <c r="AE44" s="43"/>
      <c r="AF44" s="1027">
        <f t="shared" si="11"/>
        <v>2.1189836476000812</v>
      </c>
      <c r="AG44" s="392">
        <f t="shared" si="12"/>
        <v>2.1190000000000002</v>
      </c>
      <c r="AH44" s="392">
        <f>AG44+'TAR_Tab 14_Overige tarieven'!$AA$14+'TAR_Tab 14_Overige tarieven'!$AA$15</f>
        <v>2.2990000000000004</v>
      </c>
      <c r="AI44" s="43"/>
    </row>
    <row r="45" spans="1:35">
      <c r="A45" s="96">
        <v>300085</v>
      </c>
      <c r="B45" s="1286" t="s">
        <v>27</v>
      </c>
      <c r="C45" s="1022"/>
      <c r="D45" s="1358"/>
      <c r="E45" s="1022"/>
      <c r="F45" s="1032">
        <v>1.9758483311719455</v>
      </c>
      <c r="G45" s="390">
        <f t="shared" si="0"/>
        <v>1.8802172719432233</v>
      </c>
      <c r="H45" s="390">
        <f t="shared" si="1"/>
        <v>1.9241598401818034</v>
      </c>
      <c r="I45" s="387"/>
      <c r="J45" s="388">
        <f t="shared" si="2"/>
        <v>1.8279518481727131</v>
      </c>
      <c r="K45" s="388">
        <f t="shared" si="3"/>
        <v>2.0203678321908938</v>
      </c>
      <c r="L45" s="1316">
        <v>1.9390361338846771</v>
      </c>
      <c r="M45" s="61" t="b">
        <f t="shared" si="8"/>
        <v>1</v>
      </c>
      <c r="N45" s="857">
        <f t="shared" si="4"/>
        <v>1.9390361338846771</v>
      </c>
      <c r="O45" s="15"/>
      <c r="P45" s="445">
        <f t="shared" si="13"/>
        <v>-8.992834414374129E-2</v>
      </c>
      <c r="Q45" s="445">
        <f t="shared" si="14"/>
        <v>9.3051873491242748E-2</v>
      </c>
      <c r="R45" s="445">
        <f t="shared" si="14"/>
        <v>0</v>
      </c>
      <c r="S45" s="445">
        <f t="shared" si="14"/>
        <v>3.5054968908187082E-3</v>
      </c>
      <c r="T45" s="445">
        <f t="shared" si="14"/>
        <v>8.1186642563837993E-2</v>
      </c>
      <c r="U45" s="445">
        <f t="shared" si="14"/>
        <v>-1.0624944250434589E-2</v>
      </c>
      <c r="V45" s="445">
        <f t="shared" si="14"/>
        <v>-3.9972239901189647E-4</v>
      </c>
      <c r="W45" s="445">
        <f t="shared" si="14"/>
        <v>-3.3050034568251264E-2</v>
      </c>
      <c r="X45" s="445">
        <f t="shared" si="14"/>
        <v>2.60776126577764E-3</v>
      </c>
      <c r="Y45" s="43"/>
      <c r="Z45" s="388">
        <f t="shared" si="9"/>
        <v>1.9853848627349151</v>
      </c>
      <c r="AA45" s="43"/>
      <c r="AB45" s="462">
        <f>IF('TAR_Tab 2_Volumina'!C48="storage",1,0)</f>
        <v>0</v>
      </c>
      <c r="AC45" s="389">
        <f t="shared" si="7"/>
        <v>1.9853848627349151</v>
      </c>
      <c r="AD45" s="389">
        <f t="shared" si="10"/>
        <v>2.1189836476000812</v>
      </c>
      <c r="AE45" s="43"/>
      <c r="AF45" s="1027">
        <f t="shared" si="11"/>
        <v>2.1189836476000812</v>
      </c>
      <c r="AG45" s="392">
        <f t="shared" si="12"/>
        <v>2.1190000000000002</v>
      </c>
      <c r="AH45" s="392">
        <f>AG45+'TAR_Tab 14_Overige tarieven'!$AA$14+'TAR_Tab 14_Overige tarieven'!$AA$15</f>
        <v>2.2990000000000004</v>
      </c>
      <c r="AI45" s="43"/>
    </row>
    <row r="46" spans="1:35">
      <c r="A46" s="96">
        <v>300088</v>
      </c>
      <c r="B46" s="1286" t="s">
        <v>748</v>
      </c>
      <c r="C46" s="1022"/>
      <c r="D46" s="1358"/>
      <c r="E46" s="1022"/>
      <c r="F46" s="1032">
        <v>1.8534113892313402</v>
      </c>
      <c r="G46" s="390">
        <f t="shared" si="0"/>
        <v>1.7637062779925434</v>
      </c>
      <c r="H46" s="390">
        <f t="shared" si="1"/>
        <v>1.8049258671485353</v>
      </c>
      <c r="I46" s="387"/>
      <c r="J46" s="388">
        <f t="shared" si="2"/>
        <v>1.7146795737911085</v>
      </c>
      <c r="K46" s="388">
        <f t="shared" si="3"/>
        <v>1.8951721605059622</v>
      </c>
      <c r="L46" s="1316">
        <v>1.8188803249596279</v>
      </c>
      <c r="M46" s="61" t="b">
        <f t="shared" si="8"/>
        <v>1</v>
      </c>
      <c r="N46" s="857">
        <f t="shared" si="4"/>
        <v>1.8188803249596279</v>
      </c>
      <c r="O46" s="15"/>
      <c r="P46" s="445">
        <f t="shared" si="13"/>
        <v>-8.4355774996082447E-2</v>
      </c>
      <c r="Q46" s="445">
        <f t="shared" si="14"/>
        <v>8.7285749314416766E-2</v>
      </c>
      <c r="R46" s="445">
        <f t="shared" si="14"/>
        <v>0</v>
      </c>
      <c r="S46" s="445">
        <f t="shared" si="14"/>
        <v>3.2882725661968044E-3</v>
      </c>
      <c r="T46" s="445">
        <f t="shared" si="14"/>
        <v>7.6155768439989946E-2</v>
      </c>
      <c r="U46" s="445">
        <f t="shared" si="14"/>
        <v>-9.9665507584902838E-3</v>
      </c>
      <c r="V46" s="445">
        <f t="shared" si="14"/>
        <v>-3.7495289247231785E-4</v>
      </c>
      <c r="W46" s="445">
        <f t="shared" si="14"/>
        <v>-3.1002030630030042E-2</v>
      </c>
      <c r="X46" s="445">
        <f t="shared" si="14"/>
        <v>2.4461667194474591E-3</v>
      </c>
      <c r="Y46" s="43"/>
      <c r="Z46" s="388">
        <f t="shared" si="9"/>
        <v>1.8623569727226039</v>
      </c>
      <c r="AA46" s="43"/>
      <c r="AB46" s="462">
        <f>IF('TAR_Tab 2_Volumina'!C49="storage",1,0)</f>
        <v>0</v>
      </c>
      <c r="AC46" s="389">
        <f t="shared" si="7"/>
        <v>1.8623569727226039</v>
      </c>
      <c r="AD46" s="389">
        <f t="shared" si="10"/>
        <v>1.9876770722211816</v>
      </c>
      <c r="AE46" s="43"/>
      <c r="AF46" s="1027">
        <f t="shared" si="11"/>
        <v>1.9876770722211816</v>
      </c>
      <c r="AG46" s="392">
        <f t="shared" si="12"/>
        <v>1.988</v>
      </c>
      <c r="AH46" s="392">
        <f>AG46+'TAR_Tab 14_Overige tarieven'!$AA$14+'TAR_Tab 14_Overige tarieven'!$AA$15</f>
        <v>2.1680000000000001</v>
      </c>
      <c r="AI46" s="43"/>
    </row>
    <row r="47" spans="1:35">
      <c r="A47" s="96">
        <v>300089</v>
      </c>
      <c r="B47" s="1286" t="s">
        <v>61</v>
      </c>
      <c r="C47" s="1022"/>
      <c r="D47" s="1358"/>
      <c r="E47" s="1022"/>
      <c r="F47" s="1032">
        <v>1.9758483311719455</v>
      </c>
      <c r="G47" s="390">
        <f t="shared" si="0"/>
        <v>1.8802172719432233</v>
      </c>
      <c r="H47" s="390">
        <f t="shared" si="1"/>
        <v>1.9241598401818034</v>
      </c>
      <c r="I47" s="387"/>
      <c r="J47" s="388">
        <f t="shared" si="2"/>
        <v>1.8279518481727131</v>
      </c>
      <c r="K47" s="388">
        <f t="shared" si="3"/>
        <v>2.0203678321908938</v>
      </c>
      <c r="L47" s="1316">
        <v>1.9390361338846771</v>
      </c>
      <c r="M47" s="61" t="b">
        <f t="shared" si="8"/>
        <v>1</v>
      </c>
      <c r="N47" s="857">
        <f t="shared" si="4"/>
        <v>1.9390361338846771</v>
      </c>
      <c r="O47" s="15"/>
      <c r="P47" s="445">
        <f t="shared" si="13"/>
        <v>-8.992834414374129E-2</v>
      </c>
      <c r="Q47" s="445">
        <f t="shared" si="14"/>
        <v>9.3051873491242748E-2</v>
      </c>
      <c r="R47" s="445">
        <f t="shared" si="14"/>
        <v>0</v>
      </c>
      <c r="S47" s="445">
        <f t="shared" si="14"/>
        <v>3.5054968908187082E-3</v>
      </c>
      <c r="T47" s="445">
        <f t="shared" si="14"/>
        <v>8.1186642563837993E-2</v>
      </c>
      <c r="U47" s="445">
        <f t="shared" si="14"/>
        <v>-1.0624944250434589E-2</v>
      </c>
      <c r="V47" s="445">
        <f t="shared" si="14"/>
        <v>-3.9972239901189647E-4</v>
      </c>
      <c r="W47" s="445">
        <f t="shared" si="14"/>
        <v>-3.3050034568251264E-2</v>
      </c>
      <c r="X47" s="445">
        <f t="shared" si="14"/>
        <v>2.60776126577764E-3</v>
      </c>
      <c r="Y47" s="43"/>
      <c r="Z47" s="388">
        <f t="shared" si="9"/>
        <v>1.9853848627349151</v>
      </c>
      <c r="AA47" s="43"/>
      <c r="AB47" s="462">
        <f>IF('TAR_Tab 2_Volumina'!C50="storage",1,0)</f>
        <v>0</v>
      </c>
      <c r="AC47" s="389">
        <f t="shared" si="7"/>
        <v>1.9853848627349151</v>
      </c>
      <c r="AD47" s="389">
        <f t="shared" si="10"/>
        <v>2.1189836476000812</v>
      </c>
      <c r="AE47" s="43"/>
      <c r="AF47" s="1027">
        <f t="shared" si="11"/>
        <v>2.1189836476000812</v>
      </c>
      <c r="AG47" s="392">
        <f t="shared" si="12"/>
        <v>2.1190000000000002</v>
      </c>
      <c r="AH47" s="392">
        <f>AG47+'TAR_Tab 14_Overige tarieven'!$AA$14+'TAR_Tab 14_Overige tarieven'!$AA$15</f>
        <v>2.2990000000000004</v>
      </c>
      <c r="AI47" s="43"/>
    </row>
    <row r="48" spans="1:35">
      <c r="A48" s="96">
        <v>300090</v>
      </c>
      <c r="B48" s="1286" t="s">
        <v>62</v>
      </c>
      <c r="C48" s="1022"/>
      <c r="D48" s="1358"/>
      <c r="E48" s="1022"/>
      <c r="F48" s="1032">
        <v>2.2145116455344298</v>
      </c>
      <c r="G48" s="390">
        <f t="shared" si="0"/>
        <v>2.1073292818905633</v>
      </c>
      <c r="H48" s="390">
        <f t="shared" si="1"/>
        <v>2.1565796861669426</v>
      </c>
      <c r="I48" s="387"/>
      <c r="J48" s="388">
        <f t="shared" si="2"/>
        <v>2.0487507018585953</v>
      </c>
      <c r="K48" s="388">
        <f t="shared" si="3"/>
        <v>2.2644086704752899</v>
      </c>
      <c r="L48" s="1316">
        <v>2.1732528918617664</v>
      </c>
      <c r="M48" s="61" t="b">
        <f t="shared" si="8"/>
        <v>1</v>
      </c>
      <c r="N48" s="857">
        <f t="shared" si="4"/>
        <v>2.1732528918617664</v>
      </c>
      <c r="O48" s="15"/>
      <c r="P48" s="445">
        <f t="shared" si="13"/>
        <v>-0.10079081588809082</v>
      </c>
      <c r="Q48" s="445">
        <f t="shared" si="14"/>
        <v>0.10429163728520066</v>
      </c>
      <c r="R48" s="445">
        <f t="shared" si="14"/>
        <v>0</v>
      </c>
      <c r="S48" s="445">
        <f t="shared" si="14"/>
        <v>3.9289269149005365E-3</v>
      </c>
      <c r="T48" s="445">
        <f t="shared" si="14"/>
        <v>9.0993201544382396E-2</v>
      </c>
      <c r="U48" s="445">
        <f t="shared" si="14"/>
        <v>-1.1908334462992694E-2</v>
      </c>
      <c r="V48" s="445">
        <f t="shared" si="14"/>
        <v>-4.4800498784629256E-4</v>
      </c>
      <c r="W48" s="445">
        <f t="shared" si="14"/>
        <v>-3.7042158186957858E-2</v>
      </c>
      <c r="X48" s="445">
        <f t="shared" si="14"/>
        <v>2.9227535336241533E-3</v>
      </c>
      <c r="Y48" s="43"/>
      <c r="Z48" s="388">
        <f t="shared" si="9"/>
        <v>2.2252000976139863</v>
      </c>
      <c r="AA48" s="43"/>
      <c r="AB48" s="462">
        <f>IF('TAR_Tab 2_Volumina'!C51="storage",1,0)</f>
        <v>0</v>
      </c>
      <c r="AC48" s="389">
        <f t="shared" si="7"/>
        <v>2.2252000976139863</v>
      </c>
      <c r="AD48" s="389">
        <f t="shared" si="10"/>
        <v>2.3749363198966331</v>
      </c>
      <c r="AE48" s="43"/>
      <c r="AF48" s="1027">
        <f t="shared" si="11"/>
        <v>2.3749363198966331</v>
      </c>
      <c r="AG48" s="392">
        <f t="shared" si="12"/>
        <v>2.375</v>
      </c>
      <c r="AH48" s="392">
        <f>AG48+'TAR_Tab 14_Overige tarieven'!$AA$14+'TAR_Tab 14_Overige tarieven'!$AA$15</f>
        <v>2.5550000000000002</v>
      </c>
      <c r="AI48" s="43"/>
    </row>
    <row r="49" spans="1:35">
      <c r="A49" s="96">
        <v>300091</v>
      </c>
      <c r="B49" s="1286" t="s">
        <v>63</v>
      </c>
      <c r="C49" s="1022"/>
      <c r="D49" s="1358"/>
      <c r="E49" s="1022"/>
      <c r="F49" s="1032">
        <v>1.9758483311719455</v>
      </c>
      <c r="G49" s="390">
        <f t="shared" si="0"/>
        <v>1.8802172719432233</v>
      </c>
      <c r="H49" s="390">
        <f t="shared" si="1"/>
        <v>1.9241598401818034</v>
      </c>
      <c r="I49" s="387"/>
      <c r="J49" s="388">
        <f t="shared" si="2"/>
        <v>1.8279518481727131</v>
      </c>
      <c r="K49" s="388">
        <f t="shared" si="3"/>
        <v>2.0203678321908938</v>
      </c>
      <c r="L49" s="1316">
        <v>1.9390361338846771</v>
      </c>
      <c r="M49" s="61" t="b">
        <f t="shared" si="8"/>
        <v>1</v>
      </c>
      <c r="N49" s="857">
        <f t="shared" si="4"/>
        <v>1.9390361338846771</v>
      </c>
      <c r="O49" s="15"/>
      <c r="P49" s="445">
        <f t="shared" si="13"/>
        <v>-8.992834414374129E-2</v>
      </c>
      <c r="Q49" s="445">
        <f t="shared" si="14"/>
        <v>9.3051873491242748E-2</v>
      </c>
      <c r="R49" s="445">
        <f t="shared" si="14"/>
        <v>0</v>
      </c>
      <c r="S49" s="445">
        <f t="shared" si="14"/>
        <v>3.5054968908187082E-3</v>
      </c>
      <c r="T49" s="445">
        <f t="shared" si="14"/>
        <v>8.1186642563837993E-2</v>
      </c>
      <c r="U49" s="445">
        <f t="shared" si="14"/>
        <v>-1.0624944250434589E-2</v>
      </c>
      <c r="V49" s="445">
        <f t="shared" si="14"/>
        <v>-3.9972239901189647E-4</v>
      </c>
      <c r="W49" s="445">
        <f t="shared" si="14"/>
        <v>-3.3050034568251264E-2</v>
      </c>
      <c r="X49" s="445">
        <f t="shared" si="14"/>
        <v>2.60776126577764E-3</v>
      </c>
      <c r="Y49" s="43"/>
      <c r="Z49" s="388">
        <f t="shared" si="9"/>
        <v>1.9853848627349151</v>
      </c>
      <c r="AA49" s="43"/>
      <c r="AB49" s="462">
        <f>IF('TAR_Tab 2_Volumina'!C52="storage",1,0)</f>
        <v>0</v>
      </c>
      <c r="AC49" s="389">
        <f t="shared" si="7"/>
        <v>1.9853848627349151</v>
      </c>
      <c r="AD49" s="389">
        <f t="shared" si="10"/>
        <v>2.1189836476000812</v>
      </c>
      <c r="AE49" s="43"/>
      <c r="AF49" s="1027">
        <f t="shared" si="11"/>
        <v>2.1189836476000812</v>
      </c>
      <c r="AG49" s="392">
        <f t="shared" si="12"/>
        <v>2.1190000000000002</v>
      </c>
      <c r="AH49" s="392">
        <f>AG49+'TAR_Tab 14_Overige tarieven'!$AA$14+'TAR_Tab 14_Overige tarieven'!$AA$15</f>
        <v>2.2990000000000004</v>
      </c>
      <c r="AI49" s="43"/>
    </row>
    <row r="50" spans="1:35">
      <c r="A50" s="96">
        <v>300092</v>
      </c>
      <c r="B50" s="1286" t="s">
        <v>64</v>
      </c>
      <c r="C50" s="1022"/>
      <c r="D50" s="1358"/>
      <c r="E50" s="1022"/>
      <c r="F50" s="1032">
        <v>1.9652016405684138</v>
      </c>
      <c r="G50" s="390">
        <f t="shared" si="0"/>
        <v>1.8700858811649026</v>
      </c>
      <c r="H50" s="390">
        <f t="shared" si="1"/>
        <v>1.9137916686136924</v>
      </c>
      <c r="I50" s="387"/>
      <c r="J50" s="388">
        <f t="shared" si="2"/>
        <v>1.8181020851830076</v>
      </c>
      <c r="K50" s="388">
        <f t="shared" si="3"/>
        <v>2.009481252044377</v>
      </c>
      <c r="L50" s="1316">
        <v>1.9285878026738026</v>
      </c>
      <c r="M50" s="61" t="b">
        <f t="shared" si="8"/>
        <v>1</v>
      </c>
      <c r="N50" s="857">
        <f t="shared" si="4"/>
        <v>1.9285878026738026</v>
      </c>
      <c r="O50" s="15"/>
      <c r="P50" s="445">
        <f t="shared" si="13"/>
        <v>-8.9443772913510064E-2</v>
      </c>
      <c r="Q50" s="445">
        <f t="shared" si="14"/>
        <v>9.2550471388910024E-2</v>
      </c>
      <c r="R50" s="445">
        <f t="shared" si="14"/>
        <v>0</v>
      </c>
      <c r="S50" s="445">
        <f t="shared" si="14"/>
        <v>3.4866078191124546E-3</v>
      </c>
      <c r="T50" s="445">
        <f t="shared" si="14"/>
        <v>8.0749175248720745E-2</v>
      </c>
      <c r="U50" s="445">
        <f t="shared" si="14"/>
        <v>-1.0567692642439428E-2</v>
      </c>
      <c r="V50" s="445">
        <f t="shared" si="14"/>
        <v>-3.9756852887801988E-4</v>
      </c>
      <c r="W50" s="445">
        <f t="shared" si="14"/>
        <v>-3.2871947269275489E-2</v>
      </c>
      <c r="X50" s="445">
        <f t="shared" si="14"/>
        <v>2.5937095660967541E-3</v>
      </c>
      <c r="Y50" s="43"/>
      <c r="Z50" s="388">
        <f t="shared" si="9"/>
        <v>1.9746867853425396</v>
      </c>
      <c r="AA50" s="43"/>
      <c r="AB50" s="462">
        <f>IF('TAR_Tab 2_Volumina'!C53="storage",1,0)</f>
        <v>0</v>
      </c>
      <c r="AC50" s="389">
        <f t="shared" si="7"/>
        <v>1.9746867853425396</v>
      </c>
      <c r="AD50" s="389">
        <f t="shared" si="10"/>
        <v>2.1075656845236548</v>
      </c>
      <c r="AE50" s="43"/>
      <c r="AF50" s="1027">
        <f t="shared" si="11"/>
        <v>2.1075656845236548</v>
      </c>
      <c r="AG50" s="392">
        <f t="shared" si="12"/>
        <v>2.1080000000000001</v>
      </c>
      <c r="AH50" s="392">
        <f>AG50+'TAR_Tab 14_Overige tarieven'!$AA$14+'TAR_Tab 14_Overige tarieven'!$AA$15</f>
        <v>2.2880000000000003</v>
      </c>
      <c r="AI50" s="43"/>
    </row>
    <row r="51" spans="1:35">
      <c r="A51" s="96">
        <v>300095</v>
      </c>
      <c r="B51" s="1286" t="s">
        <v>262</v>
      </c>
      <c r="C51" s="1022"/>
      <c r="D51" s="1358"/>
      <c r="E51" s="1022"/>
      <c r="F51" s="1032">
        <v>2.2145116455344298</v>
      </c>
      <c r="G51" s="390">
        <f t="shared" si="0"/>
        <v>2.1073292818905633</v>
      </c>
      <c r="H51" s="390">
        <f t="shared" si="1"/>
        <v>2.1565796861669426</v>
      </c>
      <c r="I51" s="387"/>
      <c r="J51" s="388">
        <f t="shared" si="2"/>
        <v>2.0487507018585953</v>
      </c>
      <c r="K51" s="388">
        <f t="shared" si="3"/>
        <v>2.2644086704752899</v>
      </c>
      <c r="L51" s="1316">
        <v>2.1732528918617664</v>
      </c>
      <c r="M51" s="61" t="b">
        <f t="shared" si="8"/>
        <v>1</v>
      </c>
      <c r="N51" s="857">
        <f t="shared" si="4"/>
        <v>2.1732528918617664</v>
      </c>
      <c r="O51" s="15"/>
      <c r="P51" s="445">
        <f t="shared" si="13"/>
        <v>-0.10079081588809082</v>
      </c>
      <c r="Q51" s="445">
        <f t="shared" si="14"/>
        <v>0.10429163728520066</v>
      </c>
      <c r="R51" s="445">
        <f t="shared" si="14"/>
        <v>0</v>
      </c>
      <c r="S51" s="445">
        <f t="shared" si="14"/>
        <v>3.9289269149005365E-3</v>
      </c>
      <c r="T51" s="445">
        <f t="shared" si="14"/>
        <v>9.0993201544382396E-2</v>
      </c>
      <c r="U51" s="445">
        <f t="shared" si="14"/>
        <v>-1.1908334462992694E-2</v>
      </c>
      <c r="V51" s="445">
        <f t="shared" si="14"/>
        <v>-4.4800498784629256E-4</v>
      </c>
      <c r="W51" s="445">
        <f t="shared" si="14"/>
        <v>-3.7042158186957858E-2</v>
      </c>
      <c r="X51" s="445">
        <f t="shared" si="14"/>
        <v>2.9227535336241533E-3</v>
      </c>
      <c r="Y51" s="43"/>
      <c r="Z51" s="388">
        <f t="shared" si="9"/>
        <v>2.2252000976139863</v>
      </c>
      <c r="AA51" s="43"/>
      <c r="AB51" s="462">
        <f>IF('TAR_Tab 2_Volumina'!C54="storage",1,0)</f>
        <v>0</v>
      </c>
      <c r="AC51" s="389">
        <f t="shared" si="7"/>
        <v>2.2252000976139863</v>
      </c>
      <c r="AD51" s="389">
        <f t="shared" si="10"/>
        <v>2.3749363198966331</v>
      </c>
      <c r="AE51" s="43"/>
      <c r="AF51" s="1027">
        <f t="shared" si="11"/>
        <v>2.3749363198966331</v>
      </c>
      <c r="AG51" s="392">
        <f t="shared" si="12"/>
        <v>2.375</v>
      </c>
      <c r="AH51" s="392">
        <f>AG51+'TAR_Tab 14_Overige tarieven'!$AA$14+'TAR_Tab 14_Overige tarieven'!$AA$15</f>
        <v>2.5550000000000002</v>
      </c>
      <c r="AI51" s="43"/>
    </row>
    <row r="52" spans="1:35">
      <c r="A52" s="96">
        <v>300096</v>
      </c>
      <c r="B52" s="1286" t="s">
        <v>65</v>
      </c>
      <c r="C52" s="1022"/>
      <c r="D52" s="1358"/>
      <c r="E52" s="1022"/>
      <c r="F52" s="1032">
        <v>2.2145116455344298</v>
      </c>
      <c r="G52" s="390">
        <f t="shared" si="0"/>
        <v>2.1073292818905633</v>
      </c>
      <c r="H52" s="390">
        <f t="shared" si="1"/>
        <v>2.1565796861669426</v>
      </c>
      <c r="I52" s="387"/>
      <c r="J52" s="388">
        <f t="shared" si="2"/>
        <v>2.0487507018585953</v>
      </c>
      <c r="K52" s="388">
        <f t="shared" si="3"/>
        <v>2.2644086704752899</v>
      </c>
      <c r="L52" s="1316">
        <v>2.1732528918617664</v>
      </c>
      <c r="M52" s="61" t="b">
        <f t="shared" si="8"/>
        <v>1</v>
      </c>
      <c r="N52" s="857">
        <f t="shared" si="4"/>
        <v>2.1732528918617664</v>
      </c>
      <c r="O52" s="15"/>
      <c r="P52" s="445">
        <f t="shared" si="13"/>
        <v>-0.10079081588809082</v>
      </c>
      <c r="Q52" s="445">
        <f t="shared" si="14"/>
        <v>0.10429163728520066</v>
      </c>
      <c r="R52" s="445">
        <f t="shared" si="14"/>
        <v>0</v>
      </c>
      <c r="S52" s="445">
        <f t="shared" si="14"/>
        <v>3.9289269149005365E-3</v>
      </c>
      <c r="T52" s="445">
        <f t="shared" si="14"/>
        <v>9.0993201544382396E-2</v>
      </c>
      <c r="U52" s="445">
        <f t="shared" si="14"/>
        <v>-1.1908334462992694E-2</v>
      </c>
      <c r="V52" s="445">
        <f t="shared" si="14"/>
        <v>-4.4800498784629256E-4</v>
      </c>
      <c r="W52" s="445">
        <f t="shared" si="14"/>
        <v>-3.7042158186957858E-2</v>
      </c>
      <c r="X52" s="445">
        <f t="shared" si="14"/>
        <v>2.9227535336241533E-3</v>
      </c>
      <c r="Y52" s="43"/>
      <c r="Z52" s="388">
        <f t="shared" si="9"/>
        <v>2.2252000976139863</v>
      </c>
      <c r="AA52" s="43"/>
      <c r="AB52" s="462">
        <f>IF('TAR_Tab 2_Volumina'!C55="storage",1,0)</f>
        <v>0</v>
      </c>
      <c r="AC52" s="389">
        <f t="shared" si="7"/>
        <v>2.2252000976139863</v>
      </c>
      <c r="AD52" s="389">
        <f t="shared" si="10"/>
        <v>2.3749363198966331</v>
      </c>
      <c r="AE52" s="43"/>
      <c r="AF52" s="1027">
        <f t="shared" si="11"/>
        <v>2.3749363198966331</v>
      </c>
      <c r="AG52" s="392">
        <f t="shared" si="12"/>
        <v>2.375</v>
      </c>
      <c r="AH52" s="392">
        <f>AG52+'TAR_Tab 14_Overige tarieven'!$AA$14+'TAR_Tab 14_Overige tarieven'!$AA$15</f>
        <v>2.5550000000000002</v>
      </c>
      <c r="AI52" s="43"/>
    </row>
    <row r="53" spans="1:35">
      <c r="A53" s="96">
        <v>300097</v>
      </c>
      <c r="B53" s="1286" t="s">
        <v>66</v>
      </c>
      <c r="C53" s="1022"/>
      <c r="D53" s="1358"/>
      <c r="E53" s="1022"/>
      <c r="F53" s="1032">
        <v>2.2872640313252242</v>
      </c>
      <c r="G53" s="390">
        <f t="shared" si="0"/>
        <v>2.1765604522090833</v>
      </c>
      <c r="H53" s="390">
        <f t="shared" si="1"/>
        <v>2.2274288585490294</v>
      </c>
      <c r="I53" s="387"/>
      <c r="J53" s="388">
        <f t="shared" si="2"/>
        <v>2.1160574156215777</v>
      </c>
      <c r="K53" s="388">
        <f t="shared" si="3"/>
        <v>2.3388003014764811</v>
      </c>
      <c r="L53" s="1316">
        <v>2.2446498218027378</v>
      </c>
      <c r="M53" s="61" t="b">
        <f t="shared" si="8"/>
        <v>1</v>
      </c>
      <c r="N53" s="857">
        <f t="shared" si="4"/>
        <v>2.2446498218027378</v>
      </c>
      <c r="O53" s="15"/>
      <c r="P53" s="445">
        <f t="shared" si="13"/>
        <v>-0.10410205262800405</v>
      </c>
      <c r="Q53" s="445">
        <f t="shared" ref="Q53:X84" si="15">$N53*Q$5</f>
        <v>0.10771788498447409</v>
      </c>
      <c r="R53" s="445">
        <f t="shared" si="15"/>
        <v>0</v>
      </c>
      <c r="S53" s="445">
        <f t="shared" si="15"/>
        <v>4.0580022382265962E-3</v>
      </c>
      <c r="T53" s="445">
        <f t="shared" si="15"/>
        <v>9.3982561531016751E-2</v>
      </c>
      <c r="U53" s="445">
        <f t="shared" si="15"/>
        <v>-1.2299553784292934E-2</v>
      </c>
      <c r="V53" s="445">
        <f t="shared" si="15"/>
        <v>-4.6272310042778128E-4</v>
      </c>
      <c r="W53" s="445">
        <f t="shared" si="15"/>
        <v>-3.8259088063292208E-2</v>
      </c>
      <c r="X53" s="445">
        <f t="shared" si="15"/>
        <v>3.0187734814435363E-3</v>
      </c>
      <c r="Y53" s="43"/>
      <c r="Z53" s="388">
        <f t="shared" si="9"/>
        <v>2.2983036264618817</v>
      </c>
      <c r="AA53" s="43"/>
      <c r="AB53" s="462">
        <f>IF('TAR_Tab 2_Volumina'!C56="storage",1,0)</f>
        <v>0</v>
      </c>
      <c r="AC53" s="389">
        <f t="shared" si="7"/>
        <v>2.2983036264618817</v>
      </c>
      <c r="AD53" s="389">
        <f t="shared" si="10"/>
        <v>2.452959067585545</v>
      </c>
      <c r="AE53" s="43"/>
      <c r="AF53" s="1027">
        <f t="shared" si="11"/>
        <v>2.452959067585545</v>
      </c>
      <c r="AG53" s="392">
        <f t="shared" si="12"/>
        <v>2.4529999999999998</v>
      </c>
      <c r="AH53" s="392">
        <f>AG53+'TAR_Tab 14_Overige tarieven'!$AA$14+'TAR_Tab 14_Overige tarieven'!$AA$15</f>
        <v>2.633</v>
      </c>
      <c r="AI53" s="43"/>
    </row>
    <row r="54" spans="1:35">
      <c r="A54" s="96">
        <v>300099</v>
      </c>
      <c r="B54" s="1286" t="s">
        <v>67</v>
      </c>
      <c r="C54" s="1022"/>
      <c r="D54" s="1358"/>
      <c r="E54" s="1022"/>
      <c r="F54" s="1032">
        <v>1.620071420170621</v>
      </c>
      <c r="G54" s="390">
        <f t="shared" si="0"/>
        <v>1.5416599634343628</v>
      </c>
      <c r="H54" s="390">
        <f t="shared" si="1"/>
        <v>1.5776901069474512</v>
      </c>
      <c r="I54" s="387"/>
      <c r="J54" s="388">
        <f t="shared" si="2"/>
        <v>1.4988056016000786</v>
      </c>
      <c r="K54" s="388">
        <f t="shared" si="3"/>
        <v>1.6565746122948237</v>
      </c>
      <c r="L54" s="1316">
        <v>1.5898877325879754</v>
      </c>
      <c r="M54" s="61" t="b">
        <f t="shared" si="8"/>
        <v>1</v>
      </c>
      <c r="N54" s="857">
        <f t="shared" si="4"/>
        <v>1.5898877325879754</v>
      </c>
      <c r="O54" s="15"/>
      <c r="P54" s="445">
        <f t="shared" si="13"/>
        <v>-7.3735588866848514E-2</v>
      </c>
      <c r="Q54" s="445">
        <f t="shared" si="15"/>
        <v>7.6296686571625194E-2</v>
      </c>
      <c r="R54" s="445">
        <f t="shared" si="15"/>
        <v>0</v>
      </c>
      <c r="S54" s="445">
        <f t="shared" si="15"/>
        <v>2.8742870779681021E-3</v>
      </c>
      <c r="T54" s="445">
        <f t="shared" si="15"/>
        <v>6.6567943117004133E-2</v>
      </c>
      <c r="U54" s="445">
        <f t="shared" si="15"/>
        <v>-8.7117863499297545E-3</v>
      </c>
      <c r="V54" s="445">
        <f t="shared" si="15"/>
        <v>-3.2774723870485995E-4</v>
      </c>
      <c r="W54" s="445">
        <f t="shared" si="15"/>
        <v>-2.7098950660811326E-2</v>
      </c>
      <c r="X54" s="445">
        <f t="shared" si="15"/>
        <v>2.1382003014413886E-3</v>
      </c>
      <c r="Y54" s="43"/>
      <c r="Z54" s="388">
        <f t="shared" si="9"/>
        <v>1.6278907765397199</v>
      </c>
      <c r="AA54" s="43"/>
      <c r="AB54" s="462">
        <f>IF('TAR_Tab 2_Volumina'!C57="storage",1,0)</f>
        <v>0</v>
      </c>
      <c r="AC54" s="389">
        <f t="shared" si="7"/>
        <v>1.6278907765397199</v>
      </c>
      <c r="AD54" s="389">
        <f t="shared" si="10"/>
        <v>1.7374333814628424</v>
      </c>
      <c r="AE54" s="43"/>
      <c r="AF54" s="1027">
        <f t="shared" si="11"/>
        <v>1.7374333814628424</v>
      </c>
      <c r="AG54" s="392">
        <f t="shared" si="12"/>
        <v>1.7370000000000001</v>
      </c>
      <c r="AH54" s="392">
        <f>AG54+'TAR_Tab 14_Overige tarieven'!$AA$14+'TAR_Tab 14_Overige tarieven'!$AA$15</f>
        <v>1.917</v>
      </c>
      <c r="AI54" s="43"/>
    </row>
    <row r="55" spans="1:35">
      <c r="A55" s="96">
        <v>300100</v>
      </c>
      <c r="B55" s="1286" t="s">
        <v>28</v>
      </c>
      <c r="C55" s="1022"/>
      <c r="D55" s="1358"/>
      <c r="E55" s="1022"/>
      <c r="F55" s="1032">
        <v>1.8933364789945806</v>
      </c>
      <c r="G55" s="390">
        <f t="shared" si="0"/>
        <v>1.8016989934112428</v>
      </c>
      <c r="H55" s="390">
        <f t="shared" si="1"/>
        <v>1.8438065105289483</v>
      </c>
      <c r="I55" s="387"/>
      <c r="J55" s="388">
        <f t="shared" si="2"/>
        <v>1.7516161850025007</v>
      </c>
      <c r="K55" s="388">
        <f t="shared" si="3"/>
        <v>1.9359968360553959</v>
      </c>
      <c r="L55" s="1316">
        <v>1.8580615670004044</v>
      </c>
      <c r="M55" s="61" t="b">
        <f t="shared" si="8"/>
        <v>1</v>
      </c>
      <c r="N55" s="857">
        <f t="shared" si="4"/>
        <v>1.8580615670004044</v>
      </c>
      <c r="O55" s="15"/>
      <c r="P55" s="445">
        <f t="shared" si="13"/>
        <v>-8.6172917109449437E-2</v>
      </c>
      <c r="Q55" s="445">
        <f t="shared" si="15"/>
        <v>8.9166007198164351E-2</v>
      </c>
      <c r="R55" s="445">
        <f t="shared" si="15"/>
        <v>0</v>
      </c>
      <c r="S55" s="445">
        <f t="shared" si="15"/>
        <v>3.3591065850952506E-3</v>
      </c>
      <c r="T55" s="445">
        <f t="shared" si="15"/>
        <v>7.7796270871679507E-2</v>
      </c>
      <c r="U55" s="445">
        <f t="shared" si="15"/>
        <v>-1.0181244288472118E-2</v>
      </c>
      <c r="V55" s="445">
        <f t="shared" si="15"/>
        <v>-3.8302990547435425E-4</v>
      </c>
      <c r="W55" s="445">
        <f t="shared" si="15"/>
        <v>-3.1669858001189127E-2</v>
      </c>
      <c r="X55" s="445">
        <f t="shared" si="15"/>
        <v>2.4988605932507787E-3</v>
      </c>
      <c r="Y55" s="43"/>
      <c r="Z55" s="388">
        <f t="shared" si="9"/>
        <v>1.9024747629440093</v>
      </c>
      <c r="AA55" s="43"/>
      <c r="AB55" s="462">
        <f>IF('TAR_Tab 2_Volumina'!C58="storage",1,0)</f>
        <v>0</v>
      </c>
      <c r="AC55" s="389">
        <f t="shared" si="7"/>
        <v>1.9024747629440093</v>
      </c>
      <c r="AD55" s="389">
        <f t="shared" si="10"/>
        <v>2.0304944337577786</v>
      </c>
      <c r="AE55" s="43"/>
      <c r="AF55" s="1027">
        <f t="shared" si="11"/>
        <v>2.0304944337577786</v>
      </c>
      <c r="AG55" s="392">
        <f t="shared" si="12"/>
        <v>2.0299999999999998</v>
      </c>
      <c r="AH55" s="392">
        <f>AG55+'TAR_Tab 14_Overige tarieven'!$AA$14+'TAR_Tab 14_Overige tarieven'!$AA$15</f>
        <v>2.21</v>
      </c>
      <c r="AI55" s="43"/>
    </row>
    <row r="56" spans="1:35">
      <c r="A56" s="96">
        <v>300131</v>
      </c>
      <c r="B56" s="1286" t="s">
        <v>33</v>
      </c>
      <c r="C56" s="1022"/>
      <c r="D56" s="1358"/>
      <c r="E56" s="1022"/>
      <c r="F56" s="1032">
        <v>2.0468262685288181</v>
      </c>
      <c r="G56" s="390">
        <f t="shared" si="0"/>
        <v>1.9477598771320233</v>
      </c>
      <c r="H56" s="390">
        <f t="shared" si="1"/>
        <v>1.9932809839692054</v>
      </c>
      <c r="I56" s="387"/>
      <c r="J56" s="388">
        <f t="shared" si="2"/>
        <v>1.893616934770745</v>
      </c>
      <c r="K56" s="388">
        <f t="shared" si="3"/>
        <v>2.0929450331676658</v>
      </c>
      <c r="L56" s="1316">
        <v>2.0086916752905029</v>
      </c>
      <c r="M56" s="61" t="b">
        <f t="shared" si="8"/>
        <v>1</v>
      </c>
      <c r="N56" s="857">
        <f t="shared" si="4"/>
        <v>2.0086916752905029</v>
      </c>
      <c r="O56" s="15"/>
      <c r="P56" s="445">
        <f t="shared" si="13"/>
        <v>-9.3158819011949334E-2</v>
      </c>
      <c r="Q56" s="445">
        <f t="shared" si="15"/>
        <v>9.6394554173460711E-2</v>
      </c>
      <c r="R56" s="445">
        <f t="shared" si="15"/>
        <v>0</v>
      </c>
      <c r="S56" s="445">
        <f t="shared" si="15"/>
        <v>3.6314240355270586E-3</v>
      </c>
      <c r="T56" s="445">
        <f t="shared" si="15"/>
        <v>8.4103091331286142E-2</v>
      </c>
      <c r="U56" s="445">
        <f t="shared" si="15"/>
        <v>-1.100662163706897E-2</v>
      </c>
      <c r="V56" s="445">
        <f t="shared" si="15"/>
        <v>-4.1408153323773913E-4</v>
      </c>
      <c r="W56" s="445">
        <f t="shared" si="15"/>
        <v>-3.4237283228089652E-2</v>
      </c>
      <c r="X56" s="445">
        <f t="shared" si="15"/>
        <v>2.7014392636502092E-3</v>
      </c>
      <c r="Y56" s="43"/>
      <c r="Z56" s="388">
        <f t="shared" si="9"/>
        <v>2.0567053786840814</v>
      </c>
      <c r="AA56" s="43"/>
      <c r="AB56" s="462">
        <f>IF('TAR_Tab 2_Volumina'!C59="storage",1,0)</f>
        <v>0</v>
      </c>
      <c r="AC56" s="389">
        <f t="shared" si="7"/>
        <v>2.0567053786840814</v>
      </c>
      <c r="AD56" s="389">
        <f t="shared" si="10"/>
        <v>2.195103401442922</v>
      </c>
      <c r="AE56" s="43"/>
      <c r="AF56" s="1027">
        <f t="shared" si="11"/>
        <v>2.195103401442922</v>
      </c>
      <c r="AG56" s="392">
        <f t="shared" si="12"/>
        <v>2.1949999999999998</v>
      </c>
      <c r="AH56" s="392">
        <f>AG56+'TAR_Tab 14_Overige tarieven'!$AA$14+'TAR_Tab 14_Overige tarieven'!$AA$15</f>
        <v>2.375</v>
      </c>
      <c r="AI56" s="43"/>
    </row>
    <row r="57" spans="1:35">
      <c r="A57" s="96">
        <v>300132</v>
      </c>
      <c r="B57" s="1286" t="s">
        <v>749</v>
      </c>
      <c r="C57" s="1022"/>
      <c r="D57" s="1358"/>
      <c r="E57" s="1022"/>
      <c r="F57" s="1032">
        <v>1.485220660591682</v>
      </c>
      <c r="G57" s="390">
        <f t="shared" si="0"/>
        <v>1.4133359806190446</v>
      </c>
      <c r="H57" s="390">
        <f t="shared" si="1"/>
        <v>1.4463670636215991</v>
      </c>
      <c r="I57" s="387"/>
      <c r="J57" s="388">
        <f t="shared" si="2"/>
        <v>1.374048710440519</v>
      </c>
      <c r="K57" s="388">
        <f t="shared" si="3"/>
        <v>1.5186854168026791</v>
      </c>
      <c r="L57" s="1316">
        <v>1.4575493889104196</v>
      </c>
      <c r="M57" s="61" t="b">
        <f t="shared" si="8"/>
        <v>1</v>
      </c>
      <c r="N57" s="857">
        <f t="shared" si="4"/>
        <v>1.4575493889104196</v>
      </c>
      <c r="O57" s="15"/>
      <c r="P57" s="445">
        <f t="shared" si="13"/>
        <v>-6.759801984186832E-2</v>
      </c>
      <c r="Q57" s="445">
        <f t="shared" si="15"/>
        <v>6.9945938074095174E-2</v>
      </c>
      <c r="R57" s="445">
        <f t="shared" si="15"/>
        <v>0</v>
      </c>
      <c r="S57" s="445">
        <f t="shared" si="15"/>
        <v>2.6350384924513554E-3</v>
      </c>
      <c r="T57" s="445">
        <f t="shared" si="15"/>
        <v>6.1026991291565344E-2</v>
      </c>
      <c r="U57" s="445">
        <f t="shared" si="15"/>
        <v>-7.9866386854806556E-3</v>
      </c>
      <c r="V57" s="445">
        <f t="shared" si="15"/>
        <v>-3.0046636482548768E-4</v>
      </c>
      <c r="W57" s="445">
        <f t="shared" si="15"/>
        <v>-2.4843300672233823E-2</v>
      </c>
      <c r="X57" s="445">
        <f t="shared" si="15"/>
        <v>1.9602217684018259E-3</v>
      </c>
      <c r="Y57" s="43"/>
      <c r="Z57" s="388">
        <f t="shared" si="9"/>
        <v>1.4923891529725251</v>
      </c>
      <c r="AA57" s="43"/>
      <c r="AB57" s="462">
        <f>IF('TAR_Tab 2_Volumina'!C60="storage",1,0)</f>
        <v>0</v>
      </c>
      <c r="AC57" s="389">
        <f t="shared" si="7"/>
        <v>1.4923891529725251</v>
      </c>
      <c r="AD57" s="389">
        <f t="shared" si="10"/>
        <v>1.5928137009407368</v>
      </c>
      <c r="AE57" s="43"/>
      <c r="AF57" s="1027">
        <f t="shared" si="11"/>
        <v>1.5928137009407368</v>
      </c>
      <c r="AG57" s="392">
        <f t="shared" si="12"/>
        <v>1.593</v>
      </c>
      <c r="AH57" s="392">
        <f>AG57+'TAR_Tab 14_Overige tarieven'!$AA$14+'TAR_Tab 14_Overige tarieven'!$AA$15</f>
        <v>1.7729999999999999</v>
      </c>
      <c r="AI57" s="43"/>
    </row>
    <row r="58" spans="1:35">
      <c r="A58" s="96">
        <v>300133</v>
      </c>
      <c r="B58" s="1286" t="s">
        <v>750</v>
      </c>
      <c r="C58" s="1022"/>
      <c r="D58" s="1358"/>
      <c r="E58" s="1022"/>
      <c r="F58" s="1032">
        <v>1.485220660591682</v>
      </c>
      <c r="G58" s="390">
        <f t="shared" si="0"/>
        <v>1.4133359806190446</v>
      </c>
      <c r="H58" s="390">
        <f t="shared" si="1"/>
        <v>1.4463670636215991</v>
      </c>
      <c r="I58" s="387"/>
      <c r="J58" s="388">
        <f t="shared" si="2"/>
        <v>1.374048710440519</v>
      </c>
      <c r="K58" s="388">
        <f t="shared" si="3"/>
        <v>1.5186854168026791</v>
      </c>
      <c r="L58" s="1316">
        <v>1.4575493889104196</v>
      </c>
      <c r="M58" s="61" t="b">
        <f t="shared" si="8"/>
        <v>1</v>
      </c>
      <c r="N58" s="857">
        <f t="shared" si="4"/>
        <v>1.4575493889104196</v>
      </c>
      <c r="O58" s="15"/>
      <c r="P58" s="445">
        <f t="shared" si="13"/>
        <v>-6.759801984186832E-2</v>
      </c>
      <c r="Q58" s="445">
        <f t="shared" si="15"/>
        <v>6.9945938074095174E-2</v>
      </c>
      <c r="R58" s="445">
        <f t="shared" si="15"/>
        <v>0</v>
      </c>
      <c r="S58" s="445">
        <f t="shared" si="15"/>
        <v>2.6350384924513554E-3</v>
      </c>
      <c r="T58" s="445">
        <f t="shared" si="15"/>
        <v>6.1026991291565344E-2</v>
      </c>
      <c r="U58" s="445">
        <f t="shared" si="15"/>
        <v>-7.9866386854806556E-3</v>
      </c>
      <c r="V58" s="445">
        <f t="shared" si="15"/>
        <v>-3.0046636482548768E-4</v>
      </c>
      <c r="W58" s="445">
        <f t="shared" si="15"/>
        <v>-2.4843300672233823E-2</v>
      </c>
      <c r="X58" s="445">
        <f t="shared" si="15"/>
        <v>1.9602217684018259E-3</v>
      </c>
      <c r="Y58" s="43"/>
      <c r="Z58" s="388">
        <f t="shared" si="9"/>
        <v>1.4923891529725251</v>
      </c>
      <c r="AA58" s="43"/>
      <c r="AB58" s="462">
        <f>IF('TAR_Tab 2_Volumina'!C61="storage",1,0)</f>
        <v>0</v>
      </c>
      <c r="AC58" s="389">
        <f t="shared" si="7"/>
        <v>1.4923891529725251</v>
      </c>
      <c r="AD58" s="389">
        <f t="shared" si="10"/>
        <v>1.5928137009407368</v>
      </c>
      <c r="AE58" s="43"/>
      <c r="AF58" s="1027">
        <f t="shared" si="11"/>
        <v>1.5928137009407368</v>
      </c>
      <c r="AG58" s="392">
        <f t="shared" si="12"/>
        <v>1.593</v>
      </c>
      <c r="AH58" s="392">
        <f>AG58+'TAR_Tab 14_Overige tarieven'!$AA$14+'TAR_Tab 14_Overige tarieven'!$AA$15</f>
        <v>1.7729999999999999</v>
      </c>
      <c r="AI58" s="43"/>
    </row>
    <row r="59" spans="1:35">
      <c r="A59" s="96">
        <v>300136</v>
      </c>
      <c r="B59" s="1286" t="s">
        <v>656</v>
      </c>
      <c r="C59" s="1022"/>
      <c r="D59" s="1358"/>
      <c r="E59" s="1022"/>
      <c r="F59" s="1032">
        <v>0.73098803277960378</v>
      </c>
      <c r="G59" s="390">
        <f t="shared" si="0"/>
        <v>0.69560821199307099</v>
      </c>
      <c r="H59" s="390">
        <f t="shared" si="1"/>
        <v>0.7118652753542809</v>
      </c>
      <c r="I59" s="387"/>
      <c r="J59" s="388">
        <f t="shared" si="2"/>
        <v>0.6762720115865668</v>
      </c>
      <c r="K59" s="388">
        <f t="shared" si="3"/>
        <v>0.747458539121995</v>
      </c>
      <c r="L59" s="1316">
        <v>0.6762720115865668</v>
      </c>
      <c r="M59" s="61" t="b">
        <f t="shared" si="8"/>
        <v>1</v>
      </c>
      <c r="N59" s="857">
        <f t="shared" si="4"/>
        <v>0.6762720115865668</v>
      </c>
      <c r="O59" s="15"/>
      <c r="P59" s="445">
        <f t="shared" si="13"/>
        <v>-3.1364047905026803E-2</v>
      </c>
      <c r="Q59" s="445">
        <f t="shared" si="15"/>
        <v>3.2453432181147837E-2</v>
      </c>
      <c r="R59" s="445">
        <f t="shared" si="15"/>
        <v>0</v>
      </c>
      <c r="S59" s="445">
        <f t="shared" si="15"/>
        <v>1.2226019889660382E-3</v>
      </c>
      <c r="T59" s="445">
        <f t="shared" si="15"/>
        <v>2.8315229985225069E-2</v>
      </c>
      <c r="U59" s="445">
        <f t="shared" si="15"/>
        <v>-3.7056310069072031E-3</v>
      </c>
      <c r="V59" s="445">
        <f t="shared" si="15"/>
        <v>-1.3941002239830394E-4</v>
      </c>
      <c r="W59" s="445">
        <f t="shared" si="15"/>
        <v>-1.1526764751773394E-2</v>
      </c>
      <c r="X59" s="445">
        <f t="shared" si="15"/>
        <v>9.0950133735355281E-4</v>
      </c>
      <c r="Y59" s="43"/>
      <c r="Z59" s="388">
        <f t="shared" si="9"/>
        <v>0.69243692339315355</v>
      </c>
      <c r="AA59" s="43"/>
      <c r="AB59" s="462">
        <f>IF('TAR_Tab 2_Volumina'!C62="storage",1,0)</f>
        <v>0</v>
      </c>
      <c r="AC59" s="389">
        <f t="shared" si="7"/>
        <v>0.69243692339315355</v>
      </c>
      <c r="AD59" s="389">
        <f t="shared" si="10"/>
        <v>0.73903178431783423</v>
      </c>
      <c r="AE59" s="43"/>
      <c r="AF59" s="1027">
        <f t="shared" si="11"/>
        <v>0.73903178431783423</v>
      </c>
      <c r="AG59" s="392">
        <f t="shared" si="12"/>
        <v>0.73899999999999999</v>
      </c>
      <c r="AH59" s="392">
        <f>AG59+'TAR_Tab 14_Overige tarieven'!$AA$14+'TAR_Tab 14_Overige tarieven'!$AA$15</f>
        <v>0.91900000000000004</v>
      </c>
      <c r="AI59" s="43"/>
    </row>
    <row r="60" spans="1:35">
      <c r="A60" s="96">
        <v>300138</v>
      </c>
      <c r="B60" s="1286" t="s">
        <v>751</v>
      </c>
      <c r="C60" s="1022"/>
      <c r="D60" s="1358"/>
      <c r="E60" s="1022"/>
      <c r="F60" s="1032">
        <v>2.0344051294913656</v>
      </c>
      <c r="G60" s="390">
        <f t="shared" si="0"/>
        <v>1.9359399212239836</v>
      </c>
      <c r="H60" s="390">
        <f t="shared" si="1"/>
        <v>1.9811847838064103</v>
      </c>
      <c r="I60" s="387"/>
      <c r="J60" s="388">
        <f t="shared" si="2"/>
        <v>1.8821255446160896</v>
      </c>
      <c r="K60" s="388">
        <f t="shared" si="3"/>
        <v>2.0802440229967307</v>
      </c>
      <c r="L60" s="1316">
        <v>1.9965019555444836</v>
      </c>
      <c r="M60" s="61" t="b">
        <f t="shared" si="8"/>
        <v>1</v>
      </c>
      <c r="N60" s="857">
        <f t="shared" si="4"/>
        <v>1.9965019555444836</v>
      </c>
      <c r="O60" s="15"/>
      <c r="P60" s="445">
        <f t="shared" si="13"/>
        <v>-9.2593485910012929E-2</v>
      </c>
      <c r="Q60" s="445">
        <f t="shared" si="15"/>
        <v>9.5809585054072582E-2</v>
      </c>
      <c r="R60" s="445">
        <f t="shared" si="15"/>
        <v>0</v>
      </c>
      <c r="S60" s="445">
        <f t="shared" si="15"/>
        <v>3.6093867852030979E-3</v>
      </c>
      <c r="T60" s="445">
        <f t="shared" si="15"/>
        <v>8.3592712796982729E-2</v>
      </c>
      <c r="U60" s="445">
        <f t="shared" si="15"/>
        <v>-1.0939828094407954E-2</v>
      </c>
      <c r="V60" s="445">
        <f t="shared" si="15"/>
        <v>-4.1156868474821675E-4</v>
      </c>
      <c r="W60" s="445">
        <f t="shared" si="15"/>
        <v>-3.4029514712617941E-2</v>
      </c>
      <c r="X60" s="445">
        <f t="shared" si="15"/>
        <v>2.68504561402251E-3</v>
      </c>
      <c r="Y60" s="43"/>
      <c r="Z60" s="388">
        <f t="shared" si="9"/>
        <v>2.0442242883929773</v>
      </c>
      <c r="AA60" s="43"/>
      <c r="AB60" s="462">
        <f>IF('TAR_Tab 2_Volumina'!C63="storage",1,0)</f>
        <v>0</v>
      </c>
      <c r="AC60" s="389">
        <f t="shared" si="7"/>
        <v>2.0442242883929773</v>
      </c>
      <c r="AD60" s="389">
        <f t="shared" si="10"/>
        <v>2.181782444520425</v>
      </c>
      <c r="AE60" s="43"/>
      <c r="AF60" s="1027">
        <f t="shared" si="11"/>
        <v>2.181782444520425</v>
      </c>
      <c r="AG60" s="392">
        <f t="shared" si="12"/>
        <v>2.1819999999999999</v>
      </c>
      <c r="AH60" s="392">
        <f>AG60+'TAR_Tab 14_Overige tarieven'!$AA$14+'TAR_Tab 14_Overige tarieven'!$AA$15</f>
        <v>2.3620000000000001</v>
      </c>
      <c r="AI60" s="43"/>
    </row>
    <row r="61" spans="1:35">
      <c r="A61" s="96">
        <v>300139</v>
      </c>
      <c r="B61" s="1286" t="s">
        <v>752</v>
      </c>
      <c r="C61" s="1022"/>
      <c r="D61" s="1358"/>
      <c r="E61" s="1022"/>
      <c r="F61" s="1032">
        <v>1.7340248861756822</v>
      </c>
      <c r="G61" s="390">
        <f t="shared" si="0"/>
        <v>1.6500980816847792</v>
      </c>
      <c r="H61" s="390">
        <f t="shared" si="1"/>
        <v>1.6886625330579146</v>
      </c>
      <c r="I61" s="387"/>
      <c r="J61" s="388">
        <f t="shared" si="2"/>
        <v>1.6042294064050189</v>
      </c>
      <c r="K61" s="388">
        <f t="shared" si="3"/>
        <v>1.7730956597108103</v>
      </c>
      <c r="L61" s="1316">
        <v>1.7017181219347901</v>
      </c>
      <c r="M61" s="61" t="b">
        <f t="shared" si="8"/>
        <v>1</v>
      </c>
      <c r="N61" s="857">
        <f t="shared" si="4"/>
        <v>1.7017181219347901</v>
      </c>
      <c r="O61" s="15"/>
      <c r="P61" s="445">
        <f t="shared" si="13"/>
        <v>-7.8922042880349152E-2</v>
      </c>
      <c r="Q61" s="445">
        <f t="shared" si="15"/>
        <v>8.166328447051463E-2</v>
      </c>
      <c r="R61" s="445">
        <f t="shared" si="15"/>
        <v>0</v>
      </c>
      <c r="S61" s="445">
        <f t="shared" si="15"/>
        <v>3.0764602480827441E-3</v>
      </c>
      <c r="T61" s="445">
        <f t="shared" si="15"/>
        <v>7.1250235359534703E-2</v>
      </c>
      <c r="U61" s="445">
        <f t="shared" si="15"/>
        <v>-9.3245607235221996E-3</v>
      </c>
      <c r="V61" s="445">
        <f t="shared" si="15"/>
        <v>-3.5080050250484325E-4</v>
      </c>
      <c r="W61" s="445">
        <f t="shared" si="15"/>
        <v>-2.9005051413193199E-2</v>
      </c>
      <c r="X61" s="445">
        <f t="shared" si="15"/>
        <v>2.2885981989221376E-3</v>
      </c>
      <c r="Y61" s="43"/>
      <c r="Z61" s="388">
        <f t="shared" si="9"/>
        <v>1.7423942446922749</v>
      </c>
      <c r="AA61" s="43"/>
      <c r="AB61" s="462">
        <f>IF('TAR_Tab 2_Volumina'!C64="storage",1,0)</f>
        <v>0</v>
      </c>
      <c r="AC61" s="389">
        <f t="shared" si="7"/>
        <v>1.7423942446922749</v>
      </c>
      <c r="AD61" s="389">
        <f t="shared" si="10"/>
        <v>1.85964191702835</v>
      </c>
      <c r="AE61" s="43"/>
      <c r="AF61" s="1027">
        <f t="shared" si="11"/>
        <v>1.85964191702835</v>
      </c>
      <c r="AG61" s="392">
        <f t="shared" si="12"/>
        <v>1.86</v>
      </c>
      <c r="AH61" s="392">
        <f>AG61+'TAR_Tab 14_Overige tarieven'!$AA$14+'TAR_Tab 14_Overige tarieven'!$AA$15</f>
        <v>2.04</v>
      </c>
      <c r="AI61" s="43"/>
    </row>
    <row r="62" spans="1:35">
      <c r="A62" s="96">
        <v>300140</v>
      </c>
      <c r="B62" s="1286" t="s">
        <v>648</v>
      </c>
      <c r="C62" s="1022"/>
      <c r="D62" s="1358"/>
      <c r="E62" s="1022"/>
      <c r="F62" s="1032">
        <v>1.2669561818201787</v>
      </c>
      <c r="G62" s="390">
        <f t="shared" si="0"/>
        <v>1.205635502620082</v>
      </c>
      <c r="H62" s="390">
        <f t="shared" si="1"/>
        <v>1.2338124166051259</v>
      </c>
      <c r="I62" s="387"/>
      <c r="J62" s="388">
        <f t="shared" si="2"/>
        <v>1.1721217957748695</v>
      </c>
      <c r="K62" s="388">
        <f t="shared" si="3"/>
        <v>1.2955030374353822</v>
      </c>
      <c r="L62" s="1316">
        <v>1.2433514140939914</v>
      </c>
      <c r="M62" s="61" t="b">
        <f t="shared" ref="M62:M116" si="16">IF(L62&gt;0,AND(L62&gt;=J62,L62&lt;=K62),"")</f>
        <v>1</v>
      </c>
      <c r="N62" s="857">
        <f t="shared" si="4"/>
        <v>1.2433514140939914</v>
      </c>
      <c r="O62" s="15"/>
      <c r="P62" s="445">
        <f t="shared" si="13"/>
        <v>-5.76639763975135E-2</v>
      </c>
      <c r="Q62" s="445">
        <f t="shared" si="15"/>
        <v>5.9666850177590769E-2</v>
      </c>
      <c r="R62" s="445">
        <f t="shared" si="15"/>
        <v>0</v>
      </c>
      <c r="S62" s="445">
        <f t="shared" si="15"/>
        <v>2.2477995330440572E-3</v>
      </c>
      <c r="T62" s="445">
        <f t="shared" si="15"/>
        <v>5.2058610498949547E-2</v>
      </c>
      <c r="U62" s="445">
        <f t="shared" si="15"/>
        <v>-6.8129413514237055E-3</v>
      </c>
      <c r="V62" s="445">
        <f t="shared" si="15"/>
        <v>-2.5631054593129235E-4</v>
      </c>
      <c r="W62" s="445">
        <f t="shared" si="15"/>
        <v>-2.1192388578115312E-2</v>
      </c>
      <c r="X62" s="445">
        <f t="shared" si="15"/>
        <v>1.672152262025357E-3</v>
      </c>
      <c r="Y62" s="43"/>
      <c r="Z62" s="388">
        <f t="shared" si="9"/>
        <v>1.2730712096926173</v>
      </c>
      <c r="AA62" s="43"/>
      <c r="AB62" s="462">
        <f>IF('TAR_Tab 2_Volumina'!C65="storage",1,0)</f>
        <v>0</v>
      </c>
      <c r="AC62" s="389">
        <f t="shared" si="7"/>
        <v>1.2730712096926173</v>
      </c>
      <c r="AD62" s="389">
        <f t="shared" si="10"/>
        <v>1.3587376060947087</v>
      </c>
      <c r="AE62" s="43"/>
      <c r="AF62" s="1027">
        <f t="shared" si="11"/>
        <v>1.3587376060947087</v>
      </c>
      <c r="AG62" s="392">
        <f t="shared" si="12"/>
        <v>1.359</v>
      </c>
      <c r="AH62" s="392">
        <f>AG62+'TAR_Tab 14_Overige tarieven'!$AA$14+'TAR_Tab 14_Overige tarieven'!$AA$15</f>
        <v>1.5389999999999999</v>
      </c>
      <c r="AI62" s="43"/>
    </row>
    <row r="63" spans="1:35">
      <c r="A63" s="96">
        <v>300141</v>
      </c>
      <c r="B63" s="1286" t="s">
        <v>753</v>
      </c>
      <c r="C63" s="1022"/>
      <c r="D63" s="1358"/>
      <c r="E63" s="1022"/>
      <c r="F63" s="1032">
        <v>2.2624217532503192</v>
      </c>
      <c r="G63" s="390">
        <f t="shared" si="0"/>
        <v>2.1529205403930036</v>
      </c>
      <c r="H63" s="390">
        <f t="shared" si="1"/>
        <v>2.2032364582234392</v>
      </c>
      <c r="I63" s="387"/>
      <c r="J63" s="388">
        <f t="shared" si="2"/>
        <v>2.0930746353122669</v>
      </c>
      <c r="K63" s="388">
        <f t="shared" si="3"/>
        <v>2.3133982811346114</v>
      </c>
      <c r="L63" s="1316">
        <v>2.2202703823106993</v>
      </c>
      <c r="M63" s="61" t="b">
        <f t="shared" si="16"/>
        <v>1</v>
      </c>
      <c r="N63" s="857">
        <f t="shared" si="4"/>
        <v>2.2202703823106993</v>
      </c>
      <c r="O63" s="15"/>
      <c r="P63" s="445">
        <f t="shared" si="13"/>
        <v>-0.10297138642413127</v>
      </c>
      <c r="Q63" s="445">
        <f t="shared" si="15"/>
        <v>0.10654794674569781</v>
      </c>
      <c r="R63" s="445">
        <f t="shared" si="15"/>
        <v>0</v>
      </c>
      <c r="S63" s="445">
        <f t="shared" si="15"/>
        <v>4.013927737578674E-3</v>
      </c>
      <c r="T63" s="445">
        <f t="shared" si="15"/>
        <v>9.2961804462409925E-2</v>
      </c>
      <c r="U63" s="445">
        <f t="shared" si="15"/>
        <v>-1.2165966698970904E-2</v>
      </c>
      <c r="V63" s="445">
        <f t="shared" si="15"/>
        <v>-4.5769740344873646E-4</v>
      </c>
      <c r="W63" s="445">
        <f t="shared" si="15"/>
        <v>-3.7843551032348779E-2</v>
      </c>
      <c r="X63" s="445">
        <f t="shared" si="15"/>
        <v>2.9859861821881382E-3</v>
      </c>
      <c r="Y63" s="43"/>
      <c r="Z63" s="388">
        <f t="shared" si="9"/>
        <v>2.2733414458796743</v>
      </c>
      <c r="AA63" s="43"/>
      <c r="AB63" s="462">
        <f>IF('TAR_Tab 2_Volumina'!C66="storage",1,0)</f>
        <v>0</v>
      </c>
      <c r="AC63" s="389">
        <f t="shared" si="7"/>
        <v>2.2733414458796743</v>
      </c>
      <c r="AD63" s="389">
        <f t="shared" si="10"/>
        <v>2.4263171537405519</v>
      </c>
      <c r="AE63" s="43"/>
      <c r="AF63" s="1027">
        <f t="shared" si="11"/>
        <v>2.4263171537405519</v>
      </c>
      <c r="AG63" s="392">
        <f t="shared" si="12"/>
        <v>2.4260000000000002</v>
      </c>
      <c r="AH63" s="392">
        <f>AG63+'TAR_Tab 14_Overige tarieven'!$AA$14+'TAR_Tab 14_Overige tarieven'!$AA$15</f>
        <v>2.6060000000000003</v>
      </c>
      <c r="AI63" s="43"/>
    </row>
    <row r="64" spans="1:35">
      <c r="A64" s="96">
        <v>300142</v>
      </c>
      <c r="B64" s="1286" t="s">
        <v>34</v>
      </c>
      <c r="C64" s="1022"/>
      <c r="D64" s="1358"/>
      <c r="E64" s="1022"/>
      <c r="F64" s="1032">
        <v>0.3743699061935859</v>
      </c>
      <c r="G64" s="390">
        <f t="shared" si="0"/>
        <v>0.35625040273381636</v>
      </c>
      <c r="H64" s="390">
        <f t="shared" si="1"/>
        <v>0.3645763328620793</v>
      </c>
      <c r="I64" s="387"/>
      <c r="J64" s="388">
        <f t="shared" si="2"/>
        <v>0.3463475162189753</v>
      </c>
      <c r="K64" s="388">
        <f t="shared" si="3"/>
        <v>0.3828051495051833</v>
      </c>
      <c r="L64" s="1316">
        <v>0.3645763328620793</v>
      </c>
      <c r="M64" s="61" t="b">
        <f t="shared" si="16"/>
        <v>1</v>
      </c>
      <c r="N64" s="857">
        <f t="shared" si="4"/>
        <v>0.3645763328620793</v>
      </c>
      <c r="O64" s="15"/>
      <c r="P64" s="445">
        <f t="shared" si="13"/>
        <v>-1.6908269709549496E-2</v>
      </c>
      <c r="Q64" s="445">
        <f t="shared" si="15"/>
        <v>1.7495553698330949E-2</v>
      </c>
      <c r="R64" s="445">
        <f t="shared" si="15"/>
        <v>0</v>
      </c>
      <c r="S64" s="445">
        <f t="shared" si="15"/>
        <v>6.5910128180732242E-4</v>
      </c>
      <c r="T64" s="445">
        <f t="shared" si="15"/>
        <v>1.5264660573400547E-2</v>
      </c>
      <c r="U64" s="445">
        <f t="shared" si="15"/>
        <v>-1.9976952177405147E-3</v>
      </c>
      <c r="V64" s="445">
        <f t="shared" si="15"/>
        <v>-7.5155549630029323E-5</v>
      </c>
      <c r="W64" s="445">
        <f t="shared" si="15"/>
        <v>-6.2140463466858848E-3</v>
      </c>
      <c r="X64" s="445">
        <f t="shared" si="15"/>
        <v>4.9030960416002753E-4</v>
      </c>
      <c r="Y64" s="43"/>
      <c r="Z64" s="388">
        <f t="shared" si="9"/>
        <v>0.3732907911961722</v>
      </c>
      <c r="AA64" s="43"/>
      <c r="AB64" s="462">
        <f>IF('TAR_Tab 2_Volumina'!C67="storage",1,0)</f>
        <v>0</v>
      </c>
      <c r="AC64" s="389">
        <f t="shared" si="7"/>
        <v>0.3732907911961722</v>
      </c>
      <c r="AD64" s="389">
        <f t="shared" si="10"/>
        <v>0.39840994922000561</v>
      </c>
      <c r="AE64" s="43"/>
      <c r="AF64" s="1027">
        <f t="shared" si="11"/>
        <v>0.39840994922000561</v>
      </c>
      <c r="AG64" s="392">
        <f t="shared" si="12"/>
        <v>0.39800000000000002</v>
      </c>
      <c r="AH64" s="392">
        <f>AG64+'TAR_Tab 14_Overige tarieven'!$AA$14+'TAR_Tab 14_Overige tarieven'!$AA$15</f>
        <v>0.57800000000000007</v>
      </c>
      <c r="AI64" s="43"/>
    </row>
    <row r="65" spans="1:35">
      <c r="A65" s="96">
        <v>300143</v>
      </c>
      <c r="B65" s="1286" t="s">
        <v>35</v>
      </c>
      <c r="C65" s="1022"/>
      <c r="D65" s="1358"/>
      <c r="E65" s="1022"/>
      <c r="F65" s="1032">
        <v>1.7340248861756822</v>
      </c>
      <c r="G65" s="390">
        <f t="shared" si="0"/>
        <v>1.6500980816847792</v>
      </c>
      <c r="H65" s="390">
        <f t="shared" si="1"/>
        <v>1.6886625330579146</v>
      </c>
      <c r="I65" s="387"/>
      <c r="J65" s="388">
        <f t="shared" si="2"/>
        <v>1.6042294064050189</v>
      </c>
      <c r="K65" s="388">
        <f t="shared" si="3"/>
        <v>1.7730956597108103</v>
      </c>
      <c r="L65" s="1316">
        <v>1.7017181219347901</v>
      </c>
      <c r="M65" s="61" t="b">
        <f t="shared" si="16"/>
        <v>1</v>
      </c>
      <c r="N65" s="857">
        <f t="shared" si="4"/>
        <v>1.7017181219347901</v>
      </c>
      <c r="O65" s="15"/>
      <c r="P65" s="445">
        <f t="shared" si="13"/>
        <v>-7.8922042880349152E-2</v>
      </c>
      <c r="Q65" s="445">
        <f t="shared" si="15"/>
        <v>8.166328447051463E-2</v>
      </c>
      <c r="R65" s="445">
        <f t="shared" si="15"/>
        <v>0</v>
      </c>
      <c r="S65" s="445">
        <f t="shared" si="15"/>
        <v>3.0764602480827441E-3</v>
      </c>
      <c r="T65" s="445">
        <f t="shared" si="15"/>
        <v>7.1250235359534703E-2</v>
      </c>
      <c r="U65" s="445">
        <f t="shared" si="15"/>
        <v>-9.3245607235221996E-3</v>
      </c>
      <c r="V65" s="445">
        <f t="shared" si="15"/>
        <v>-3.5080050250484325E-4</v>
      </c>
      <c r="W65" s="445">
        <f t="shared" si="15"/>
        <v>-2.9005051413193199E-2</v>
      </c>
      <c r="X65" s="445">
        <f t="shared" si="15"/>
        <v>2.2885981989221376E-3</v>
      </c>
      <c r="Y65" s="43"/>
      <c r="Z65" s="388">
        <f t="shared" si="9"/>
        <v>1.7423942446922749</v>
      </c>
      <c r="AA65" s="43"/>
      <c r="AB65" s="462">
        <f>IF('TAR_Tab 2_Volumina'!C68="storage",1,0)</f>
        <v>0</v>
      </c>
      <c r="AC65" s="389">
        <f t="shared" si="7"/>
        <v>1.7423942446922749</v>
      </c>
      <c r="AD65" s="389">
        <f t="shared" si="10"/>
        <v>1.85964191702835</v>
      </c>
      <c r="AE65" s="43"/>
      <c r="AF65" s="1027">
        <f t="shared" si="11"/>
        <v>1.85964191702835</v>
      </c>
      <c r="AG65" s="392">
        <f t="shared" si="12"/>
        <v>1.86</v>
      </c>
      <c r="AH65" s="392">
        <f>AG65+'TAR_Tab 14_Overige tarieven'!$AA$14+'TAR_Tab 14_Overige tarieven'!$AA$15</f>
        <v>2.04</v>
      </c>
      <c r="AI65" s="43"/>
    </row>
    <row r="66" spans="1:35">
      <c r="A66" s="96">
        <v>300144</v>
      </c>
      <c r="B66" s="1286" t="s">
        <v>263</v>
      </c>
      <c r="C66" s="1022"/>
      <c r="D66" s="1358"/>
      <c r="E66" s="1022"/>
      <c r="F66" s="1032">
        <v>0.68084401076012357</v>
      </c>
      <c r="G66" s="390">
        <f t="shared" si="0"/>
        <v>0.64789116063933361</v>
      </c>
      <c r="H66" s="390">
        <f t="shared" si="1"/>
        <v>0.66303302853002843</v>
      </c>
      <c r="I66" s="387"/>
      <c r="J66" s="388">
        <f t="shared" si="2"/>
        <v>0.62988137710352698</v>
      </c>
      <c r="K66" s="388">
        <f t="shared" si="3"/>
        <v>0.69618467995652988</v>
      </c>
      <c r="L66" s="1316">
        <v>0.6762720115865668</v>
      </c>
      <c r="M66" s="61" t="b">
        <f t="shared" si="16"/>
        <v>1</v>
      </c>
      <c r="N66" s="857">
        <f t="shared" si="4"/>
        <v>0.6762720115865668</v>
      </c>
      <c r="O66" s="15"/>
      <c r="P66" s="445">
        <f t="shared" si="13"/>
        <v>-3.1364047905026803E-2</v>
      </c>
      <c r="Q66" s="445">
        <f t="shared" si="15"/>
        <v>3.2453432181147837E-2</v>
      </c>
      <c r="R66" s="445">
        <f t="shared" si="15"/>
        <v>0</v>
      </c>
      <c r="S66" s="445">
        <f t="shared" si="15"/>
        <v>1.2226019889660382E-3</v>
      </c>
      <c r="T66" s="445">
        <f t="shared" si="15"/>
        <v>2.8315229985225069E-2</v>
      </c>
      <c r="U66" s="445">
        <f t="shared" si="15"/>
        <v>-3.7056310069072031E-3</v>
      </c>
      <c r="V66" s="445">
        <f t="shared" si="15"/>
        <v>-1.3941002239830394E-4</v>
      </c>
      <c r="W66" s="445">
        <f t="shared" si="15"/>
        <v>-1.1526764751773394E-2</v>
      </c>
      <c r="X66" s="445">
        <f t="shared" si="15"/>
        <v>9.0950133735355281E-4</v>
      </c>
      <c r="Y66" s="43"/>
      <c r="Z66" s="388">
        <f t="shared" si="9"/>
        <v>0.69243692339315355</v>
      </c>
      <c r="AA66" s="43"/>
      <c r="AB66" s="462">
        <f>IF('TAR_Tab 2_Volumina'!C69="storage",1,0)</f>
        <v>0</v>
      </c>
      <c r="AC66" s="389">
        <f t="shared" si="7"/>
        <v>0.69243692339315355</v>
      </c>
      <c r="AD66" s="389">
        <f t="shared" si="10"/>
        <v>0.73903178431783423</v>
      </c>
      <c r="AE66" s="43"/>
      <c r="AF66" s="1027">
        <f t="shared" si="11"/>
        <v>0.73903178431783423</v>
      </c>
      <c r="AG66" s="392">
        <f t="shared" si="12"/>
        <v>0.73899999999999999</v>
      </c>
      <c r="AH66" s="392">
        <f>AG66+'TAR_Tab 14_Overige tarieven'!$AA$14+'TAR_Tab 14_Overige tarieven'!$AA$15</f>
        <v>0.91900000000000004</v>
      </c>
      <c r="AI66" s="43"/>
    </row>
    <row r="67" spans="1:35">
      <c r="A67" s="96">
        <v>300145</v>
      </c>
      <c r="B67" s="1286" t="s">
        <v>754</v>
      </c>
      <c r="C67" s="1022"/>
      <c r="D67" s="1358"/>
      <c r="E67" s="1022"/>
      <c r="F67" s="1032">
        <v>0.71447143457548734</v>
      </c>
      <c r="G67" s="390">
        <f t="shared" si="0"/>
        <v>0.6798910171420337</v>
      </c>
      <c r="H67" s="390">
        <f t="shared" si="1"/>
        <v>0.69578075385564453</v>
      </c>
      <c r="I67" s="387"/>
      <c r="J67" s="388">
        <f t="shared" si="2"/>
        <v>0.66099171616286223</v>
      </c>
      <c r="K67" s="388">
        <f t="shared" si="3"/>
        <v>0.73056979154842683</v>
      </c>
      <c r="L67" s="1316">
        <v>0.7011600568797558</v>
      </c>
      <c r="M67" s="61" t="b">
        <f t="shared" si="16"/>
        <v>1</v>
      </c>
      <c r="N67" s="857">
        <f t="shared" si="4"/>
        <v>0.7011600568797558</v>
      </c>
      <c r="O67" s="15"/>
      <c r="P67" s="445">
        <f t="shared" si="13"/>
        <v>-3.2518302156961248E-2</v>
      </c>
      <c r="Q67" s="445">
        <f t="shared" si="15"/>
        <v>3.3647777764294083E-2</v>
      </c>
      <c r="R67" s="445">
        <f t="shared" si="15"/>
        <v>0</v>
      </c>
      <c r="S67" s="445">
        <f t="shared" si="15"/>
        <v>1.2675959753437145E-3</v>
      </c>
      <c r="T67" s="445">
        <f t="shared" si="15"/>
        <v>2.9357282168792534E-2</v>
      </c>
      <c r="U67" s="445">
        <f t="shared" si="15"/>
        <v>-3.8420049966031325E-3</v>
      </c>
      <c r="V67" s="445">
        <f t="shared" si="15"/>
        <v>-1.4454056586650624E-4</v>
      </c>
      <c r="W67" s="445">
        <f t="shared" si="15"/>
        <v>-1.195097074922853E-2</v>
      </c>
      <c r="X67" s="445">
        <f t="shared" si="15"/>
        <v>9.4297264784763441E-4</v>
      </c>
      <c r="Y67" s="43"/>
      <c r="Z67" s="388">
        <f t="shared" si="9"/>
        <v>0.71791986696737431</v>
      </c>
      <c r="AA67" s="43"/>
      <c r="AB67" s="462">
        <f>IF('TAR_Tab 2_Volumina'!C70="storage",1,0)</f>
        <v>0</v>
      </c>
      <c r="AC67" s="389">
        <f t="shared" si="7"/>
        <v>0.71791986696737431</v>
      </c>
      <c r="AD67" s="389">
        <f t="shared" si="10"/>
        <v>0.76622950388345323</v>
      </c>
      <c r="AE67" s="43"/>
      <c r="AF67" s="1027">
        <f t="shared" si="11"/>
        <v>0.76622950388345323</v>
      </c>
      <c r="AG67" s="392">
        <f t="shared" si="12"/>
        <v>0.76600000000000001</v>
      </c>
      <c r="AH67" s="392">
        <f>AG67+'TAR_Tab 14_Overige tarieven'!$AA$14+'TAR_Tab 14_Overige tarieven'!$AA$15</f>
        <v>0.94600000000000006</v>
      </c>
      <c r="AI67" s="43"/>
    </row>
    <row r="68" spans="1:35">
      <c r="A68" s="96">
        <v>300146</v>
      </c>
      <c r="B68" s="1286" t="s">
        <v>264</v>
      </c>
      <c r="C68" s="1022"/>
      <c r="D68" s="1358"/>
      <c r="E68" s="1022"/>
      <c r="F68" s="1032">
        <v>0.71447143457548734</v>
      </c>
      <c r="G68" s="390">
        <f t="shared" si="0"/>
        <v>0.6798910171420337</v>
      </c>
      <c r="H68" s="390">
        <f t="shared" si="1"/>
        <v>0.69578075385564453</v>
      </c>
      <c r="I68" s="387"/>
      <c r="J68" s="388">
        <f t="shared" si="2"/>
        <v>0.66099171616286223</v>
      </c>
      <c r="K68" s="388">
        <f t="shared" si="3"/>
        <v>0.73056979154842683</v>
      </c>
      <c r="L68" s="1316">
        <v>0.7011600568797558</v>
      </c>
      <c r="M68" s="61" t="b">
        <f t="shared" si="16"/>
        <v>1</v>
      </c>
      <c r="N68" s="857">
        <f t="shared" si="4"/>
        <v>0.7011600568797558</v>
      </c>
      <c r="O68" s="15"/>
      <c r="P68" s="445">
        <f t="shared" si="13"/>
        <v>-3.2518302156961248E-2</v>
      </c>
      <c r="Q68" s="445">
        <f t="shared" si="15"/>
        <v>3.3647777764294083E-2</v>
      </c>
      <c r="R68" s="445">
        <f t="shared" si="15"/>
        <v>0</v>
      </c>
      <c r="S68" s="445">
        <f t="shared" si="15"/>
        <v>1.2675959753437145E-3</v>
      </c>
      <c r="T68" s="445">
        <f t="shared" si="15"/>
        <v>2.9357282168792534E-2</v>
      </c>
      <c r="U68" s="445">
        <f t="shared" si="15"/>
        <v>-3.8420049966031325E-3</v>
      </c>
      <c r="V68" s="445">
        <f t="shared" si="15"/>
        <v>-1.4454056586650624E-4</v>
      </c>
      <c r="W68" s="445">
        <f t="shared" si="15"/>
        <v>-1.195097074922853E-2</v>
      </c>
      <c r="X68" s="445">
        <f t="shared" si="15"/>
        <v>9.4297264784763441E-4</v>
      </c>
      <c r="Y68" s="43"/>
      <c r="Z68" s="388">
        <f t="shared" si="9"/>
        <v>0.71791986696737431</v>
      </c>
      <c r="AA68" s="43"/>
      <c r="AB68" s="462">
        <f>IF('TAR_Tab 2_Volumina'!C71="storage",1,0)</f>
        <v>0</v>
      </c>
      <c r="AC68" s="389">
        <f t="shared" si="7"/>
        <v>0.71791986696737431</v>
      </c>
      <c r="AD68" s="389">
        <f t="shared" si="10"/>
        <v>0.76622950388345323</v>
      </c>
      <c r="AE68" s="43"/>
      <c r="AF68" s="1027">
        <f t="shared" si="11"/>
        <v>0.76622950388345323</v>
      </c>
      <c r="AG68" s="392">
        <f t="shared" si="12"/>
        <v>0.76600000000000001</v>
      </c>
      <c r="AH68" s="392">
        <f>AG68+'TAR_Tab 14_Overige tarieven'!$AA$14+'TAR_Tab 14_Overige tarieven'!$AA$15</f>
        <v>0.94600000000000006</v>
      </c>
      <c r="AI68" s="43"/>
    </row>
    <row r="69" spans="1:35">
      <c r="A69" s="96">
        <v>300147</v>
      </c>
      <c r="B69" s="1286" t="s">
        <v>755</v>
      </c>
      <c r="C69" s="1022"/>
      <c r="D69" s="1358"/>
      <c r="E69" s="1022"/>
      <c r="F69" s="1032">
        <v>0.71447143457548734</v>
      </c>
      <c r="G69" s="390">
        <f t="shared" si="0"/>
        <v>0.6798910171420337</v>
      </c>
      <c r="H69" s="390">
        <f t="shared" si="1"/>
        <v>0.69578075385564453</v>
      </c>
      <c r="I69" s="387"/>
      <c r="J69" s="388">
        <f t="shared" si="2"/>
        <v>0.66099171616286223</v>
      </c>
      <c r="K69" s="388">
        <f t="shared" si="3"/>
        <v>0.73056979154842683</v>
      </c>
      <c r="L69" s="1316">
        <v>0.7011600568797558</v>
      </c>
      <c r="M69" s="61" t="b">
        <f t="shared" si="16"/>
        <v>1</v>
      </c>
      <c r="N69" s="857">
        <f t="shared" si="4"/>
        <v>0.7011600568797558</v>
      </c>
      <c r="O69" s="15"/>
      <c r="P69" s="445">
        <f t="shared" si="13"/>
        <v>-3.2518302156961248E-2</v>
      </c>
      <c r="Q69" s="445">
        <f t="shared" si="15"/>
        <v>3.3647777764294083E-2</v>
      </c>
      <c r="R69" s="445">
        <f t="shared" si="15"/>
        <v>0</v>
      </c>
      <c r="S69" s="445">
        <f t="shared" si="15"/>
        <v>1.2675959753437145E-3</v>
      </c>
      <c r="T69" s="445">
        <f t="shared" si="15"/>
        <v>2.9357282168792534E-2</v>
      </c>
      <c r="U69" s="445">
        <f t="shared" si="15"/>
        <v>-3.8420049966031325E-3</v>
      </c>
      <c r="V69" s="445">
        <f t="shared" si="15"/>
        <v>-1.4454056586650624E-4</v>
      </c>
      <c r="W69" s="445">
        <f t="shared" si="15"/>
        <v>-1.195097074922853E-2</v>
      </c>
      <c r="X69" s="445">
        <f t="shared" si="15"/>
        <v>9.4297264784763441E-4</v>
      </c>
      <c r="Y69" s="43"/>
      <c r="Z69" s="388">
        <f t="shared" si="9"/>
        <v>0.71791986696737431</v>
      </c>
      <c r="AA69" s="43"/>
      <c r="AB69" s="462">
        <f>IF('TAR_Tab 2_Volumina'!C72="storage",1,0)</f>
        <v>0</v>
      </c>
      <c r="AC69" s="389">
        <f t="shared" si="7"/>
        <v>0.71791986696737431</v>
      </c>
      <c r="AD69" s="389">
        <f t="shared" si="10"/>
        <v>0.76622950388345323</v>
      </c>
      <c r="AE69" s="43"/>
      <c r="AF69" s="1027">
        <f t="shared" si="11"/>
        <v>0.76622950388345323</v>
      </c>
      <c r="AG69" s="392">
        <f t="shared" si="12"/>
        <v>0.76600000000000001</v>
      </c>
      <c r="AH69" s="392">
        <f>AG69+'TAR_Tab 14_Overige tarieven'!$AA$14+'TAR_Tab 14_Overige tarieven'!$AA$15</f>
        <v>0.94600000000000006</v>
      </c>
      <c r="AI69" s="43"/>
    </row>
    <row r="70" spans="1:35">
      <c r="A70" s="96">
        <v>300150</v>
      </c>
      <c r="B70" s="1286" t="s">
        <v>756</v>
      </c>
      <c r="C70" s="1022"/>
      <c r="D70" s="1358"/>
      <c r="E70" s="1022"/>
      <c r="F70" s="1032">
        <v>1.1845650946705493</v>
      </c>
      <c r="G70" s="390">
        <f t="shared" si="0"/>
        <v>1.1272321440884947</v>
      </c>
      <c r="H70" s="390">
        <f t="shared" si="1"/>
        <v>1.1535766927486271</v>
      </c>
      <c r="I70" s="387"/>
      <c r="J70" s="388">
        <f t="shared" si="2"/>
        <v>1.0958978581111956</v>
      </c>
      <c r="K70" s="388">
        <f t="shared" si="3"/>
        <v>1.2112555273860586</v>
      </c>
      <c r="L70" s="1316">
        <v>1.1624953622540133</v>
      </c>
      <c r="M70" s="61" t="b">
        <f t="shared" si="16"/>
        <v>1</v>
      </c>
      <c r="N70" s="857">
        <f t="shared" si="4"/>
        <v>1.1624953622540133</v>
      </c>
      <c r="O70" s="15"/>
      <c r="P70" s="445">
        <f t="shared" si="13"/>
        <v>-5.3914045837218851E-2</v>
      </c>
      <c r="Q70" s="445">
        <f t="shared" si="15"/>
        <v>5.5786671270485116E-2</v>
      </c>
      <c r="R70" s="445">
        <f t="shared" si="15"/>
        <v>0</v>
      </c>
      <c r="S70" s="445">
        <f t="shared" si="15"/>
        <v>2.1016234853800703E-3</v>
      </c>
      <c r="T70" s="445">
        <f t="shared" si="15"/>
        <v>4.8673200982777082E-2</v>
      </c>
      <c r="U70" s="445">
        <f t="shared" si="15"/>
        <v>-6.3698907923869803E-3</v>
      </c>
      <c r="V70" s="445">
        <f t="shared" si="15"/>
        <v>-2.3964248366503834E-4</v>
      </c>
      <c r="W70" s="445">
        <f t="shared" si="15"/>
        <v>-1.9814232048865957E-2</v>
      </c>
      <c r="X70" s="445">
        <f t="shared" si="15"/>
        <v>1.5634109774214549E-3</v>
      </c>
      <c r="Y70" s="43"/>
      <c r="Z70" s="388">
        <f t="shared" si="9"/>
        <v>1.1902824578079403</v>
      </c>
      <c r="AA70" s="43"/>
      <c r="AB70" s="462">
        <f>IF('TAR_Tab 2_Volumina'!C73="storage",1,0)</f>
        <v>0</v>
      </c>
      <c r="AC70" s="389">
        <f t="shared" si="7"/>
        <v>1.1902824578079403</v>
      </c>
      <c r="AD70" s="389">
        <f t="shared" si="10"/>
        <v>1.2703779057959994</v>
      </c>
      <c r="AE70" s="43"/>
      <c r="AF70" s="1027">
        <f t="shared" si="11"/>
        <v>1.2703779057959994</v>
      </c>
      <c r="AG70" s="392">
        <f t="shared" si="12"/>
        <v>1.27</v>
      </c>
      <c r="AH70" s="392">
        <f>AG70+'TAR_Tab 14_Overige tarieven'!$AA$14+'TAR_Tab 14_Overige tarieven'!$AA$15</f>
        <v>1.45</v>
      </c>
      <c r="AI70" s="43"/>
    </row>
    <row r="71" spans="1:35">
      <c r="A71" s="96">
        <v>300151</v>
      </c>
      <c r="B71" s="1286" t="s">
        <v>757</v>
      </c>
      <c r="C71" s="1022"/>
      <c r="D71" s="1358"/>
      <c r="E71" s="1022"/>
      <c r="F71" s="1032">
        <v>0.99109010430594158</v>
      </c>
      <c r="G71" s="390">
        <f t="shared" ref="G71:G134" si="17">F71*$G$5</f>
        <v>0.94312134325753405</v>
      </c>
      <c r="H71" s="390">
        <f t="shared" ref="H71:H134" si="18">G71*$H$5</f>
        <v>0.96516303737542908</v>
      </c>
      <c r="I71" s="387"/>
      <c r="J71" s="388">
        <f t="shared" ref="J71:J134" si="19">H71*$J$5</f>
        <v>0.91690488550665761</v>
      </c>
      <c r="K71" s="388">
        <f t="shared" ref="K71:K134" si="20">H71*$K$5</f>
        <v>1.0134211892442007</v>
      </c>
      <c r="L71" s="1316">
        <v>0.97262502079038171</v>
      </c>
      <c r="M71" s="61" t="b">
        <f t="shared" si="16"/>
        <v>1</v>
      </c>
      <c r="N71" s="857">
        <f t="shared" ref="N71:N134" si="21">IF(L71&gt;0,L71,H71)</f>
        <v>0.97262502079038171</v>
      </c>
      <c r="O71" s="15"/>
      <c r="P71" s="445">
        <f t="shared" si="13"/>
        <v>-4.5108265938922927E-2</v>
      </c>
      <c r="Q71" s="445">
        <f t="shared" si="15"/>
        <v>4.6675035502142241E-2</v>
      </c>
      <c r="R71" s="445">
        <f t="shared" si="15"/>
        <v>0</v>
      </c>
      <c r="S71" s="445">
        <f t="shared" si="15"/>
        <v>1.7583653686135713E-3</v>
      </c>
      <c r="T71" s="445">
        <f t="shared" si="15"/>
        <v>4.0723408157101702E-2</v>
      </c>
      <c r="U71" s="445">
        <f t="shared" si="15"/>
        <v>-5.3294966720255051E-3</v>
      </c>
      <c r="V71" s="445">
        <f t="shared" si="15"/>
        <v>-2.0050168217878577E-4</v>
      </c>
      <c r="W71" s="445">
        <f t="shared" si="15"/>
        <v>-1.6577973972392222E-2</v>
      </c>
      <c r="X71" s="445">
        <f t="shared" si="15"/>
        <v>1.3080590975176631E-3</v>
      </c>
      <c r="Y71" s="43"/>
      <c r="Z71" s="388">
        <f t="shared" si="9"/>
        <v>0.99587365065023747</v>
      </c>
      <c r="AA71" s="43"/>
      <c r="AB71" s="462">
        <f>IF('TAR_Tab 2_Volumina'!C74="storage",1,0)</f>
        <v>0</v>
      </c>
      <c r="AC71" s="389">
        <f t="shared" ref="AC71:AC134" si="22">IF(AB71=1,Z71*$AC$5,Z71)</f>
        <v>0.99587365065023747</v>
      </c>
      <c r="AD71" s="389">
        <f t="shared" si="10"/>
        <v>1.0628871109134697</v>
      </c>
      <c r="AE71" s="43"/>
      <c r="AF71" s="1027">
        <f t="shared" si="11"/>
        <v>1.0628871109134697</v>
      </c>
      <c r="AG71" s="392">
        <f t="shared" si="12"/>
        <v>1.0629999999999999</v>
      </c>
      <c r="AH71" s="392">
        <f>AG71+'TAR_Tab 14_Overige tarieven'!$AA$14+'TAR_Tab 14_Overige tarieven'!$AA$15</f>
        <v>1.2429999999999999</v>
      </c>
      <c r="AI71" s="43"/>
    </row>
    <row r="72" spans="1:35">
      <c r="A72" s="96">
        <v>300153</v>
      </c>
      <c r="B72" s="1286" t="s">
        <v>68</v>
      </c>
      <c r="C72" s="1022"/>
      <c r="D72" s="1358"/>
      <c r="E72" s="1022"/>
      <c r="F72" s="1032">
        <v>1.0438347116284923</v>
      </c>
      <c r="G72" s="390">
        <f t="shared" si="17"/>
        <v>0.99331311158567326</v>
      </c>
      <c r="H72" s="390">
        <f t="shared" si="18"/>
        <v>1.016527837798149</v>
      </c>
      <c r="I72" s="387"/>
      <c r="J72" s="388">
        <f t="shared" si="19"/>
        <v>0.96570144590824158</v>
      </c>
      <c r="K72" s="388">
        <f t="shared" si="20"/>
        <v>1.0673542296880565</v>
      </c>
      <c r="L72" s="1316">
        <v>1.0243869388751177</v>
      </c>
      <c r="M72" s="61" t="b">
        <f t="shared" si="16"/>
        <v>1</v>
      </c>
      <c r="N72" s="857">
        <f t="shared" si="21"/>
        <v>1.0243869388751177</v>
      </c>
      <c r="O72" s="15"/>
      <c r="P72" s="445">
        <f t="shared" si="13"/>
        <v>-4.7508872870233018E-2</v>
      </c>
      <c r="Q72" s="445">
        <f t="shared" si="15"/>
        <v>4.9159023999889022E-2</v>
      </c>
      <c r="R72" s="445">
        <f t="shared" si="15"/>
        <v>0</v>
      </c>
      <c r="S72" s="445">
        <f t="shared" si="15"/>
        <v>1.851943430279361E-3</v>
      </c>
      <c r="T72" s="445">
        <f t="shared" si="15"/>
        <v>4.2890658301917239E-2</v>
      </c>
      <c r="U72" s="445">
        <f t="shared" si="15"/>
        <v>-5.6131259888469887E-3</v>
      </c>
      <c r="V72" s="445">
        <f t="shared" si="15"/>
        <v>-2.1117213731508932E-4</v>
      </c>
      <c r="W72" s="445">
        <f t="shared" si="15"/>
        <v>-1.7460233540496414E-2</v>
      </c>
      <c r="X72" s="445">
        <f t="shared" si="15"/>
        <v>1.3776724083089914E-3</v>
      </c>
      <c r="Y72" s="43"/>
      <c r="Z72" s="388">
        <f t="shared" ref="Z72:Z135" si="23">N72+SUM(P72:X72)</f>
        <v>1.0488728324786207</v>
      </c>
      <c r="AA72" s="43"/>
      <c r="AB72" s="462">
        <f>IF('TAR_Tab 2_Volumina'!C75="storage",1,0)</f>
        <v>0</v>
      </c>
      <c r="AC72" s="389">
        <f t="shared" si="22"/>
        <v>1.0488728324786207</v>
      </c>
      <c r="AD72" s="389">
        <f t="shared" ref="AD72:AD135" si="24">IF(AB72=0,AC72*(1+$AD$5),AC72)</f>
        <v>1.1194526674151071</v>
      </c>
      <c r="AE72" s="43"/>
      <c r="AF72" s="1027">
        <f t="shared" ref="AF72:AF135" si="25">AD72</f>
        <v>1.1194526674151071</v>
      </c>
      <c r="AG72" s="392">
        <f t="shared" ref="AG72:AG135" si="26">ROUND(AD72,3)</f>
        <v>1.119</v>
      </c>
      <c r="AH72" s="392">
        <f>AG72+'TAR_Tab 14_Overige tarieven'!$AA$14+'TAR_Tab 14_Overige tarieven'!$AA$15</f>
        <v>1.2989999999999999</v>
      </c>
      <c r="AI72" s="43"/>
    </row>
    <row r="73" spans="1:35">
      <c r="A73" s="96">
        <v>300161</v>
      </c>
      <c r="B73" s="1286" t="s">
        <v>265</v>
      </c>
      <c r="C73" s="1022"/>
      <c r="D73" s="1358"/>
      <c r="E73" s="1022"/>
      <c r="F73" s="1032">
        <v>0.26397722168316395</v>
      </c>
      <c r="G73" s="390">
        <f t="shared" si="17"/>
        <v>0.25120072415369882</v>
      </c>
      <c r="H73" s="390">
        <f t="shared" si="18"/>
        <v>0.25707153766414825</v>
      </c>
      <c r="I73" s="387"/>
      <c r="J73" s="388">
        <f t="shared" si="19"/>
        <v>0.24421796078094082</v>
      </c>
      <c r="K73" s="388">
        <f t="shared" si="20"/>
        <v>0.26992511454735568</v>
      </c>
      <c r="L73" s="1316">
        <v>0.25905903975055489</v>
      </c>
      <c r="M73" s="61" t="b">
        <f t="shared" si="16"/>
        <v>1</v>
      </c>
      <c r="N73" s="857">
        <f t="shared" si="21"/>
        <v>0.25905903975055489</v>
      </c>
      <c r="O73" s="15"/>
      <c r="P73" s="445">
        <f t="shared" si="13"/>
        <v>-1.2014603582225258E-2</v>
      </c>
      <c r="Q73" s="445">
        <f t="shared" si="15"/>
        <v>1.2431913244101074E-2</v>
      </c>
      <c r="R73" s="445">
        <f t="shared" si="15"/>
        <v>0</v>
      </c>
      <c r="S73" s="445">
        <f t="shared" si="15"/>
        <v>4.6834127663453889E-4</v>
      </c>
      <c r="T73" s="445">
        <f t="shared" si="15"/>
        <v>1.0846695064430537E-2</v>
      </c>
      <c r="U73" s="445">
        <f t="shared" si="15"/>
        <v>-1.4195134411479028E-3</v>
      </c>
      <c r="V73" s="445">
        <f t="shared" si="15"/>
        <v>-5.3403698386658695E-5</v>
      </c>
      <c r="W73" s="445">
        <f t="shared" si="15"/>
        <v>-4.4155495967064997E-3</v>
      </c>
      <c r="X73" s="445">
        <f t="shared" si="15"/>
        <v>3.4840203212593959E-4</v>
      </c>
      <c r="Y73" s="43"/>
      <c r="Z73" s="388">
        <f t="shared" si="23"/>
        <v>0.26525132104938065</v>
      </c>
      <c r="AA73" s="43"/>
      <c r="AB73" s="462">
        <f>IF('TAR_Tab 2_Volumina'!C76="storage",1,0)</f>
        <v>0</v>
      </c>
      <c r="AC73" s="389">
        <f t="shared" si="22"/>
        <v>0.26525132104938065</v>
      </c>
      <c r="AD73" s="389">
        <f t="shared" si="24"/>
        <v>0.28310038137074406</v>
      </c>
      <c r="AE73" s="43"/>
      <c r="AF73" s="1027">
        <f t="shared" si="25"/>
        <v>0.28310038137074406</v>
      </c>
      <c r="AG73" s="392">
        <f t="shared" si="26"/>
        <v>0.28299999999999997</v>
      </c>
      <c r="AH73" s="392">
        <f>AG73+'TAR_Tab 14_Overige tarieven'!$AA$14+'TAR_Tab 14_Overige tarieven'!$AA$15</f>
        <v>0.46299999999999997</v>
      </c>
      <c r="AI73" s="43"/>
    </row>
    <row r="74" spans="1:35">
      <c r="A74" s="96">
        <v>300162</v>
      </c>
      <c r="B74" s="1286" t="s">
        <v>266</v>
      </c>
      <c r="C74" s="1022"/>
      <c r="D74" s="1358"/>
      <c r="E74" s="1022"/>
      <c r="F74" s="1032">
        <v>1.9078353748919574</v>
      </c>
      <c r="G74" s="390">
        <f t="shared" si="17"/>
        <v>1.8154961427471867</v>
      </c>
      <c r="H74" s="390">
        <f t="shared" si="18"/>
        <v>1.8579261131181624</v>
      </c>
      <c r="I74" s="387"/>
      <c r="J74" s="388">
        <f t="shared" si="19"/>
        <v>1.7650298074622541</v>
      </c>
      <c r="K74" s="388">
        <f t="shared" si="20"/>
        <v>1.9508224187740706</v>
      </c>
      <c r="L74" s="1316">
        <v>1.8722903327426468</v>
      </c>
      <c r="M74" s="61" t="b">
        <f t="shared" si="16"/>
        <v>1</v>
      </c>
      <c r="N74" s="857">
        <f t="shared" si="21"/>
        <v>1.8722903327426468</v>
      </c>
      <c r="O74" s="15"/>
      <c r="P74" s="445">
        <f t="shared" ref="P74:P137" si="27">$N74*P$5</f>
        <v>-8.6832816798809817E-2</v>
      </c>
      <c r="Q74" s="445">
        <f t="shared" si="15"/>
        <v>8.9848827536912312E-2</v>
      </c>
      <c r="R74" s="445">
        <f t="shared" si="15"/>
        <v>0</v>
      </c>
      <c r="S74" s="445">
        <f t="shared" si="15"/>
        <v>3.3848301356768948E-3</v>
      </c>
      <c r="T74" s="445">
        <f t="shared" si="15"/>
        <v>7.8392023420202517E-2</v>
      </c>
      <c r="U74" s="445">
        <f t="shared" si="15"/>
        <v>-1.0259210779205299E-2</v>
      </c>
      <c r="V74" s="445">
        <f t="shared" si="15"/>
        <v>-3.8596309288539693E-4</v>
      </c>
      <c r="W74" s="445">
        <f t="shared" si="15"/>
        <v>-3.1912381176196977E-2</v>
      </c>
      <c r="X74" s="445">
        <f t="shared" si="15"/>
        <v>2.5179965049102002E-3</v>
      </c>
      <c r="Y74" s="43"/>
      <c r="Z74" s="388">
        <f t="shared" si="23"/>
        <v>1.9170436384932512</v>
      </c>
      <c r="AA74" s="43"/>
      <c r="AB74" s="462">
        <f>IF('TAR_Tab 2_Volumina'!C77="storage",1,0)</f>
        <v>0</v>
      </c>
      <c r="AC74" s="389">
        <f t="shared" si="22"/>
        <v>1.9170436384932512</v>
      </c>
      <c r="AD74" s="389">
        <f t="shared" si="24"/>
        <v>2.046043665361287</v>
      </c>
      <c r="AE74" s="43"/>
      <c r="AF74" s="1027">
        <f t="shared" si="25"/>
        <v>2.046043665361287</v>
      </c>
      <c r="AG74" s="392">
        <f t="shared" si="26"/>
        <v>2.0459999999999998</v>
      </c>
      <c r="AH74" s="392">
        <f>AG74+'TAR_Tab 14_Overige tarieven'!$AA$14+'TAR_Tab 14_Overige tarieven'!$AA$15</f>
        <v>2.226</v>
      </c>
      <c r="AI74" s="43"/>
    </row>
    <row r="75" spans="1:35">
      <c r="A75" s="96">
        <v>300163</v>
      </c>
      <c r="B75" s="1286" t="s">
        <v>69</v>
      </c>
      <c r="C75" s="1022"/>
      <c r="D75" s="1358"/>
      <c r="E75" s="1022"/>
      <c r="F75" s="1032">
        <v>0.7909317513309948</v>
      </c>
      <c r="G75" s="390">
        <f t="shared" si="17"/>
        <v>0.75265065456657465</v>
      </c>
      <c r="H75" s="390">
        <f t="shared" si="18"/>
        <v>0.7702408571679592</v>
      </c>
      <c r="I75" s="387"/>
      <c r="J75" s="388">
        <f t="shared" si="19"/>
        <v>0.73172881430956116</v>
      </c>
      <c r="K75" s="388">
        <f t="shared" si="20"/>
        <v>0.80875290002635725</v>
      </c>
      <c r="L75" s="1316">
        <v>0.77619583501018519</v>
      </c>
      <c r="M75" s="61" t="b">
        <f t="shared" si="16"/>
        <v>1</v>
      </c>
      <c r="N75" s="857">
        <f t="shared" si="21"/>
        <v>0.77619583501018519</v>
      </c>
      <c r="O75" s="15"/>
      <c r="P75" s="445">
        <f t="shared" si="27"/>
        <v>-3.5998300884621887E-2</v>
      </c>
      <c r="Q75" s="445">
        <f t="shared" si="15"/>
        <v>3.7248649151833138E-2</v>
      </c>
      <c r="R75" s="445">
        <f t="shared" si="15"/>
        <v>0</v>
      </c>
      <c r="S75" s="445">
        <f t="shared" si="15"/>
        <v>1.4032498099163645E-3</v>
      </c>
      <c r="T75" s="445">
        <f t="shared" si="15"/>
        <v>3.2498999227138461E-2</v>
      </c>
      <c r="U75" s="445">
        <f t="shared" si="15"/>
        <v>-4.2531633785908747E-3</v>
      </c>
      <c r="V75" s="445">
        <f t="shared" si="15"/>
        <v>-1.6000880842366295E-4</v>
      </c>
      <c r="W75" s="445">
        <f t="shared" si="15"/>
        <v>-1.3229923223465306E-2</v>
      </c>
      <c r="X75" s="445">
        <f t="shared" si="15"/>
        <v>1.0438863917106749E-3</v>
      </c>
      <c r="Y75" s="43"/>
      <c r="Z75" s="388">
        <f t="shared" si="23"/>
        <v>0.79474922329568209</v>
      </c>
      <c r="AA75" s="43"/>
      <c r="AB75" s="462">
        <f>IF('TAR_Tab 2_Volumina'!C78="storage",1,0)</f>
        <v>0</v>
      </c>
      <c r="AC75" s="389">
        <f t="shared" si="22"/>
        <v>0.79474922329568209</v>
      </c>
      <c r="AD75" s="389">
        <f t="shared" si="24"/>
        <v>0.84822879418279751</v>
      </c>
      <c r="AE75" s="43"/>
      <c r="AF75" s="1027">
        <f t="shared" si="25"/>
        <v>0.84822879418279751</v>
      </c>
      <c r="AG75" s="392">
        <f t="shared" si="26"/>
        <v>0.84799999999999998</v>
      </c>
      <c r="AH75" s="392">
        <f>AG75+'TAR_Tab 14_Overige tarieven'!$AA$14+'TAR_Tab 14_Overige tarieven'!$AA$15</f>
        <v>1.028</v>
      </c>
      <c r="AI75" s="43"/>
    </row>
    <row r="76" spans="1:35">
      <c r="A76" s="96">
        <v>300164</v>
      </c>
      <c r="B76" s="1286" t="s">
        <v>267</v>
      </c>
      <c r="C76" s="1022"/>
      <c r="D76" s="1358"/>
      <c r="E76" s="1022"/>
      <c r="F76" s="1032">
        <v>0.7909317513309948</v>
      </c>
      <c r="G76" s="390">
        <f t="shared" si="17"/>
        <v>0.75265065456657465</v>
      </c>
      <c r="H76" s="390">
        <f t="shared" si="18"/>
        <v>0.7702408571679592</v>
      </c>
      <c r="I76" s="387"/>
      <c r="J76" s="388">
        <f t="shared" si="19"/>
        <v>0.73172881430956116</v>
      </c>
      <c r="K76" s="388">
        <f t="shared" si="20"/>
        <v>0.80875290002635725</v>
      </c>
      <c r="L76" s="1316">
        <v>0.77619583501018519</v>
      </c>
      <c r="M76" s="61" t="b">
        <f t="shared" si="16"/>
        <v>1</v>
      </c>
      <c r="N76" s="857">
        <f t="shared" si="21"/>
        <v>0.77619583501018519</v>
      </c>
      <c r="O76" s="15"/>
      <c r="P76" s="445">
        <f t="shared" si="27"/>
        <v>-3.5998300884621887E-2</v>
      </c>
      <c r="Q76" s="445">
        <f t="shared" si="15"/>
        <v>3.7248649151833138E-2</v>
      </c>
      <c r="R76" s="445">
        <f t="shared" si="15"/>
        <v>0</v>
      </c>
      <c r="S76" s="445">
        <f t="shared" si="15"/>
        <v>1.4032498099163645E-3</v>
      </c>
      <c r="T76" s="445">
        <f t="shared" si="15"/>
        <v>3.2498999227138461E-2</v>
      </c>
      <c r="U76" s="445">
        <f t="shared" si="15"/>
        <v>-4.2531633785908747E-3</v>
      </c>
      <c r="V76" s="445">
        <f t="shared" si="15"/>
        <v>-1.6000880842366295E-4</v>
      </c>
      <c r="W76" s="445">
        <f t="shared" si="15"/>
        <v>-1.3229923223465306E-2</v>
      </c>
      <c r="X76" s="445">
        <f t="shared" si="15"/>
        <v>1.0438863917106749E-3</v>
      </c>
      <c r="Y76" s="43"/>
      <c r="Z76" s="388">
        <f t="shared" si="23"/>
        <v>0.79474922329568209</v>
      </c>
      <c r="AA76" s="43"/>
      <c r="AB76" s="462">
        <f>IF('TAR_Tab 2_Volumina'!C79="storage",1,0)</f>
        <v>0</v>
      </c>
      <c r="AC76" s="389">
        <f t="shared" si="22"/>
        <v>0.79474922329568209</v>
      </c>
      <c r="AD76" s="389">
        <f t="shared" si="24"/>
        <v>0.84822879418279751</v>
      </c>
      <c r="AE76" s="43"/>
      <c r="AF76" s="1027">
        <f t="shared" si="25"/>
        <v>0.84822879418279751</v>
      </c>
      <c r="AG76" s="392">
        <f t="shared" si="26"/>
        <v>0.84799999999999998</v>
      </c>
      <c r="AH76" s="392">
        <f>AG76+'TAR_Tab 14_Overige tarieven'!$AA$14+'TAR_Tab 14_Overige tarieven'!$AA$15</f>
        <v>1.028</v>
      </c>
      <c r="AI76" s="43"/>
    </row>
    <row r="77" spans="1:35">
      <c r="A77" s="96">
        <v>300167</v>
      </c>
      <c r="B77" s="1286" t="s">
        <v>70</v>
      </c>
      <c r="C77" s="1022"/>
      <c r="D77" s="1358"/>
      <c r="E77" s="1022"/>
      <c r="F77" s="1032">
        <v>1.1501418355091826</v>
      </c>
      <c r="G77" s="390">
        <f t="shared" si="17"/>
        <v>1.0944749706705381</v>
      </c>
      <c r="H77" s="390">
        <f t="shared" si="18"/>
        <v>1.1200539512499488</v>
      </c>
      <c r="I77" s="387"/>
      <c r="J77" s="388">
        <f t="shared" si="19"/>
        <v>1.0640512536874513</v>
      </c>
      <c r="K77" s="388">
        <f t="shared" si="20"/>
        <v>1.1760566488124462</v>
      </c>
      <c r="L77" s="1316">
        <v>1.1287134457440673</v>
      </c>
      <c r="M77" s="61" t="b">
        <f t="shared" si="16"/>
        <v>1</v>
      </c>
      <c r="N77" s="857">
        <f t="shared" si="21"/>
        <v>1.1287134457440673</v>
      </c>
      <c r="O77" s="15"/>
      <c r="P77" s="445">
        <f t="shared" si="27"/>
        <v>-5.234731288126547E-2</v>
      </c>
      <c r="Q77" s="445">
        <f t="shared" si="15"/>
        <v>5.416552013954793E-2</v>
      </c>
      <c r="R77" s="445">
        <f t="shared" si="15"/>
        <v>0</v>
      </c>
      <c r="S77" s="445">
        <f t="shared" si="15"/>
        <v>2.0405506661468026E-3</v>
      </c>
      <c r="T77" s="445">
        <f t="shared" si="15"/>
        <v>4.7258766082422861E-2</v>
      </c>
      <c r="U77" s="445">
        <f t="shared" si="15"/>
        <v>-6.1847828548304336E-3</v>
      </c>
      <c r="V77" s="445">
        <f t="shared" si="15"/>
        <v>-2.3267851405425936E-4</v>
      </c>
      <c r="W77" s="445">
        <f t="shared" si="15"/>
        <v>-1.9238433852574122E-2</v>
      </c>
      <c r="X77" s="445">
        <f t="shared" si="15"/>
        <v>1.5179785216673266E-3</v>
      </c>
      <c r="Y77" s="43"/>
      <c r="Z77" s="388">
        <f t="shared" si="23"/>
        <v>1.155693053051128</v>
      </c>
      <c r="AA77" s="43"/>
      <c r="AB77" s="462">
        <f>IF('TAR_Tab 2_Volumina'!C80="storage",1,0)</f>
        <v>0</v>
      </c>
      <c r="AC77" s="389">
        <f t="shared" si="22"/>
        <v>1.155693053051128</v>
      </c>
      <c r="AD77" s="389">
        <f t="shared" si="24"/>
        <v>1.2334609410121837</v>
      </c>
      <c r="AE77" s="43"/>
      <c r="AF77" s="1027">
        <f t="shared" si="25"/>
        <v>1.2334609410121837</v>
      </c>
      <c r="AG77" s="392">
        <f t="shared" si="26"/>
        <v>1.2330000000000001</v>
      </c>
      <c r="AH77" s="392">
        <f>AG77+'TAR_Tab 14_Overige tarieven'!$AA$14+'TAR_Tab 14_Overige tarieven'!$AA$15</f>
        <v>1.413</v>
      </c>
      <c r="AI77" s="43"/>
    </row>
    <row r="78" spans="1:35">
      <c r="A78" s="96">
        <v>300168</v>
      </c>
      <c r="B78" s="1286" t="s">
        <v>268</v>
      </c>
      <c r="C78" s="1022"/>
      <c r="D78" s="1358"/>
      <c r="E78" s="1022"/>
      <c r="F78" s="1032">
        <v>0.33897075057042647</v>
      </c>
      <c r="G78" s="390">
        <f t="shared" si="17"/>
        <v>0.32256456624281782</v>
      </c>
      <c r="H78" s="390">
        <f t="shared" si="18"/>
        <v>0.33010322450055402</v>
      </c>
      <c r="I78" s="387"/>
      <c r="J78" s="388">
        <f t="shared" si="19"/>
        <v>0.31359806327552631</v>
      </c>
      <c r="K78" s="388">
        <f t="shared" si="20"/>
        <v>0.34660838572558172</v>
      </c>
      <c r="L78" s="1316">
        <v>0.33265535786150802</v>
      </c>
      <c r="M78" s="61" t="b">
        <f t="shared" si="16"/>
        <v>1</v>
      </c>
      <c r="N78" s="857">
        <f t="shared" si="21"/>
        <v>0.33265535786150802</v>
      </c>
      <c r="O78" s="15"/>
      <c r="P78" s="445">
        <f t="shared" si="27"/>
        <v>-1.5427843236266526E-2</v>
      </c>
      <c r="Q78" s="445">
        <f t="shared" si="15"/>
        <v>1.5963706779357063E-2</v>
      </c>
      <c r="R78" s="445">
        <f t="shared" si="15"/>
        <v>0</v>
      </c>
      <c r="S78" s="445">
        <f t="shared" si="15"/>
        <v>6.0139277567844201E-4</v>
      </c>
      <c r="T78" s="445">
        <f t="shared" si="15"/>
        <v>1.3928142525916487E-2</v>
      </c>
      <c r="U78" s="445">
        <f t="shared" si="15"/>
        <v>-1.8227843051103754E-3</v>
      </c>
      <c r="V78" s="445">
        <f t="shared" si="15"/>
        <v>-6.857520361014128E-5</v>
      </c>
      <c r="W78" s="445">
        <f t="shared" si="15"/>
        <v>-5.6699670957708476E-3</v>
      </c>
      <c r="X78" s="445">
        <f t="shared" si="15"/>
        <v>4.4737988216171794E-4</v>
      </c>
      <c r="Y78" s="43"/>
      <c r="Z78" s="388">
        <f t="shared" si="23"/>
        <v>0.34060680998386383</v>
      </c>
      <c r="AA78" s="43"/>
      <c r="AB78" s="462">
        <f>IF('TAR_Tab 2_Volumina'!C81="storage",1,0)</f>
        <v>0</v>
      </c>
      <c r="AC78" s="389">
        <f t="shared" si="22"/>
        <v>0.34060680998386383</v>
      </c>
      <c r="AD78" s="389">
        <f t="shared" si="24"/>
        <v>0.36352662607834185</v>
      </c>
      <c r="AE78" s="43"/>
      <c r="AF78" s="1027">
        <f t="shared" si="25"/>
        <v>0.36352662607834185</v>
      </c>
      <c r="AG78" s="392">
        <f t="shared" si="26"/>
        <v>0.36399999999999999</v>
      </c>
      <c r="AH78" s="392">
        <f>AG78+'TAR_Tab 14_Overige tarieven'!$AA$14+'TAR_Tab 14_Overige tarieven'!$AA$15</f>
        <v>0.54400000000000004</v>
      </c>
      <c r="AI78" s="43"/>
    </row>
    <row r="79" spans="1:35">
      <c r="A79" s="96">
        <v>300171</v>
      </c>
      <c r="B79" s="1286" t="s">
        <v>71</v>
      </c>
      <c r="C79" s="1022"/>
      <c r="D79" s="1358"/>
      <c r="E79" s="1022"/>
      <c r="F79" s="1032">
        <v>1.566258291842171</v>
      </c>
      <c r="G79" s="390">
        <f t="shared" si="17"/>
        <v>1.49045139051701</v>
      </c>
      <c r="H79" s="390">
        <f t="shared" si="18"/>
        <v>1.5252847381898518</v>
      </c>
      <c r="I79" s="387"/>
      <c r="J79" s="388">
        <f t="shared" si="19"/>
        <v>1.4490205012803592</v>
      </c>
      <c r="K79" s="388">
        <f t="shared" si="20"/>
        <v>1.6015489750993444</v>
      </c>
      <c r="L79" s="1316">
        <v>1.5370772012025291</v>
      </c>
      <c r="M79" s="61" t="b">
        <f t="shared" si="16"/>
        <v>1</v>
      </c>
      <c r="N79" s="857">
        <f t="shared" si="21"/>
        <v>1.5370772012025291</v>
      </c>
      <c r="O79" s="15"/>
      <c r="P79" s="445">
        <f t="shared" si="27"/>
        <v>-7.1286349495878282E-2</v>
      </c>
      <c r="Q79" s="445">
        <f t="shared" si="15"/>
        <v>7.3762376457641457E-2</v>
      </c>
      <c r="R79" s="445">
        <f t="shared" si="15"/>
        <v>0</v>
      </c>
      <c r="S79" s="445">
        <f t="shared" si="15"/>
        <v>2.7788132751136491E-3</v>
      </c>
      <c r="T79" s="445">
        <f t="shared" si="15"/>
        <v>6.435678796611638E-2</v>
      </c>
      <c r="U79" s="445">
        <f t="shared" si="15"/>
        <v>-8.4224111588227877E-3</v>
      </c>
      <c r="V79" s="445">
        <f t="shared" si="15"/>
        <v>-3.1686061729043966E-4</v>
      </c>
      <c r="W79" s="445">
        <f t="shared" si="15"/>
        <v>-2.6198817931278331E-2</v>
      </c>
      <c r="X79" s="445">
        <f t="shared" si="15"/>
        <v>2.067176736812813E-3</v>
      </c>
      <c r="Y79" s="43"/>
      <c r="Z79" s="388">
        <f t="shared" si="23"/>
        <v>1.5738179164349435</v>
      </c>
      <c r="AA79" s="43"/>
      <c r="AB79" s="462">
        <f>IF('TAR_Tab 2_Volumina'!C82="storage",1,0)</f>
        <v>0</v>
      </c>
      <c r="AC79" s="389">
        <f t="shared" si="22"/>
        <v>1.5738179164349435</v>
      </c>
      <c r="AD79" s="389">
        <f t="shared" si="24"/>
        <v>1.6797218976635995</v>
      </c>
      <c r="AE79" s="43"/>
      <c r="AF79" s="1027">
        <f t="shared" si="25"/>
        <v>1.6797218976635995</v>
      </c>
      <c r="AG79" s="392">
        <f t="shared" si="26"/>
        <v>1.68</v>
      </c>
      <c r="AH79" s="392">
        <f>AG79+'TAR_Tab 14_Overige tarieven'!$AA$14+'TAR_Tab 14_Overige tarieven'!$AA$15</f>
        <v>1.8599999999999999</v>
      </c>
      <c r="AI79" s="43"/>
    </row>
    <row r="80" spans="1:35">
      <c r="A80" s="96">
        <v>300178</v>
      </c>
      <c r="B80" s="1286" t="s">
        <v>72</v>
      </c>
      <c r="C80" s="1022"/>
      <c r="D80" s="1358"/>
      <c r="E80" s="1022"/>
      <c r="F80" s="1032">
        <v>1.1638995683303135</v>
      </c>
      <c r="G80" s="390">
        <f t="shared" si="17"/>
        <v>1.1075668292231262</v>
      </c>
      <c r="H80" s="390">
        <f t="shared" si="18"/>
        <v>1.1334517797010168</v>
      </c>
      <c r="I80" s="387"/>
      <c r="J80" s="388">
        <f t="shared" si="19"/>
        <v>1.0767791907159661</v>
      </c>
      <c r="K80" s="388">
        <f t="shared" si="20"/>
        <v>1.1901243686860676</v>
      </c>
      <c r="L80" s="1316">
        <v>1.1422148570819917</v>
      </c>
      <c r="M80" s="61" t="b">
        <f t="shared" si="16"/>
        <v>1</v>
      </c>
      <c r="N80" s="857">
        <f t="shared" si="21"/>
        <v>1.1422148570819917</v>
      </c>
      <c r="O80" s="15"/>
      <c r="P80" s="445">
        <f t="shared" si="27"/>
        <v>-5.2973479430720435E-2</v>
      </c>
      <c r="Q80" s="445">
        <f t="shared" si="15"/>
        <v>5.4813435667172901E-2</v>
      </c>
      <c r="R80" s="445">
        <f t="shared" si="15"/>
        <v>0</v>
      </c>
      <c r="S80" s="445">
        <f t="shared" si="15"/>
        <v>2.0649592651613754E-3</v>
      </c>
      <c r="T80" s="445">
        <f t="shared" si="15"/>
        <v>4.78240646022619E-2</v>
      </c>
      <c r="U80" s="445">
        <f t="shared" si="15"/>
        <v>-6.2587638086975695E-3</v>
      </c>
      <c r="V80" s="445">
        <f t="shared" si="15"/>
        <v>-2.3546176106844962E-4</v>
      </c>
      <c r="W80" s="445">
        <f t="shared" si="15"/>
        <v>-1.9468559585478652E-2</v>
      </c>
      <c r="X80" s="445">
        <f t="shared" si="15"/>
        <v>1.5361362325552789E-3</v>
      </c>
      <c r="Y80" s="43"/>
      <c r="Z80" s="388">
        <f t="shared" si="23"/>
        <v>1.1695171882631781</v>
      </c>
      <c r="AA80" s="43"/>
      <c r="AB80" s="462">
        <f>IF('TAR_Tab 2_Volumina'!C83="storage",1,0)</f>
        <v>0</v>
      </c>
      <c r="AC80" s="389">
        <f t="shared" si="22"/>
        <v>1.1695171882631781</v>
      </c>
      <c r="AD80" s="389">
        <f t="shared" si="24"/>
        <v>1.2482153178619169</v>
      </c>
      <c r="AE80" s="43"/>
      <c r="AF80" s="1027">
        <f t="shared" si="25"/>
        <v>1.2482153178619169</v>
      </c>
      <c r="AG80" s="392">
        <f t="shared" si="26"/>
        <v>1.248</v>
      </c>
      <c r="AH80" s="392">
        <f>AG80+'TAR_Tab 14_Overige tarieven'!$AA$14+'TAR_Tab 14_Overige tarieven'!$AA$15</f>
        <v>1.4279999999999999</v>
      </c>
      <c r="AI80" s="43"/>
    </row>
    <row r="81" spans="1:35">
      <c r="A81" s="96">
        <v>300179</v>
      </c>
      <c r="B81" s="1286" t="s">
        <v>73</v>
      </c>
      <c r="C81" s="1022"/>
      <c r="D81" s="1358"/>
      <c r="E81" s="1022"/>
      <c r="F81" s="1032">
        <v>1.3428280766238445</v>
      </c>
      <c r="G81" s="390">
        <f t="shared" si="17"/>
        <v>1.2778351977152504</v>
      </c>
      <c r="H81" s="390">
        <f t="shared" si="18"/>
        <v>1.3076994911727982</v>
      </c>
      <c r="I81" s="387"/>
      <c r="J81" s="388">
        <f t="shared" si="19"/>
        <v>1.2423145166141583</v>
      </c>
      <c r="K81" s="388">
        <f t="shared" si="20"/>
        <v>1.3730844657314381</v>
      </c>
      <c r="L81" s="1316">
        <v>1.3178097332117065</v>
      </c>
      <c r="M81" s="61" t="b">
        <f t="shared" si="16"/>
        <v>1</v>
      </c>
      <c r="N81" s="857">
        <f t="shared" si="21"/>
        <v>1.3178097332117065</v>
      </c>
      <c r="O81" s="15"/>
      <c r="P81" s="445">
        <f t="shared" si="27"/>
        <v>-6.1117193812584437E-2</v>
      </c>
      <c r="Q81" s="445">
        <f t="shared" si="15"/>
        <v>6.3240010042864461E-2</v>
      </c>
      <c r="R81" s="445">
        <f t="shared" si="15"/>
        <v>0</v>
      </c>
      <c r="S81" s="445">
        <f t="shared" si="15"/>
        <v>2.3824094052385591E-3</v>
      </c>
      <c r="T81" s="445">
        <f t="shared" si="15"/>
        <v>5.5176149586786703E-2</v>
      </c>
      <c r="U81" s="445">
        <f t="shared" si="15"/>
        <v>-7.2209355480155266E-3</v>
      </c>
      <c r="V81" s="445">
        <f t="shared" si="15"/>
        <v>-2.7165974826126637E-4</v>
      </c>
      <c r="W81" s="445">
        <f t="shared" si="15"/>
        <v>-2.2461498512546644E-2</v>
      </c>
      <c r="X81" s="445">
        <f t="shared" si="15"/>
        <v>1.7722893956852068E-3</v>
      </c>
      <c r="Y81" s="43"/>
      <c r="Z81" s="388">
        <f t="shared" si="23"/>
        <v>1.3493093040208735</v>
      </c>
      <c r="AA81" s="43"/>
      <c r="AB81" s="462">
        <f>IF('TAR_Tab 2_Volumina'!C84="storage",1,0)</f>
        <v>0</v>
      </c>
      <c r="AC81" s="389">
        <f t="shared" si="22"/>
        <v>1.3493093040208735</v>
      </c>
      <c r="AD81" s="389">
        <f t="shared" si="24"/>
        <v>1.4401058477076885</v>
      </c>
      <c r="AE81" s="43"/>
      <c r="AF81" s="1027">
        <f t="shared" si="25"/>
        <v>1.4401058477076885</v>
      </c>
      <c r="AG81" s="392">
        <f t="shared" si="26"/>
        <v>1.44</v>
      </c>
      <c r="AH81" s="392">
        <f>AG81+'TAR_Tab 14_Overige tarieven'!$AA$14+'TAR_Tab 14_Overige tarieven'!$AA$15</f>
        <v>1.6199999999999999</v>
      </c>
      <c r="AI81" s="43"/>
    </row>
    <row r="82" spans="1:35">
      <c r="A82" s="96">
        <v>300183</v>
      </c>
      <c r="B82" s="1286" t="s">
        <v>29</v>
      </c>
      <c r="C82" s="1022"/>
      <c r="D82" s="1358"/>
      <c r="E82" s="1022"/>
      <c r="F82" s="1032">
        <v>0.67518602729120292</v>
      </c>
      <c r="G82" s="390">
        <f t="shared" si="17"/>
        <v>0.64250702357030864</v>
      </c>
      <c r="H82" s="390">
        <f t="shared" si="18"/>
        <v>0.65752305876385087</v>
      </c>
      <c r="I82" s="387"/>
      <c r="J82" s="388">
        <f t="shared" si="19"/>
        <v>0.62464690582565829</v>
      </c>
      <c r="K82" s="388">
        <f t="shared" si="20"/>
        <v>0.69039921170204344</v>
      </c>
      <c r="L82" s="1316">
        <v>0.6626065793395941</v>
      </c>
      <c r="M82" s="61" t="b">
        <f t="shared" si="16"/>
        <v>1</v>
      </c>
      <c r="N82" s="857">
        <f t="shared" si="21"/>
        <v>0.6626065793395941</v>
      </c>
      <c r="O82" s="15"/>
      <c r="P82" s="445">
        <f t="shared" si="27"/>
        <v>-3.0730274417001734E-2</v>
      </c>
      <c r="Q82" s="445">
        <f t="shared" si="15"/>
        <v>3.1797645499080734E-2</v>
      </c>
      <c r="R82" s="445">
        <f t="shared" si="15"/>
        <v>0</v>
      </c>
      <c r="S82" s="445">
        <f t="shared" si="15"/>
        <v>1.1978968638699499E-3</v>
      </c>
      <c r="T82" s="445">
        <f t="shared" si="15"/>
        <v>2.7743063977625902E-2</v>
      </c>
      <c r="U82" s="445">
        <f t="shared" si="15"/>
        <v>-3.6307513008280324E-3</v>
      </c>
      <c r="V82" s="445">
        <f t="shared" si="15"/>
        <v>-1.3659296331114238E-4</v>
      </c>
      <c r="W82" s="445">
        <f t="shared" si="15"/>
        <v>-1.129384335321868E-2</v>
      </c>
      <c r="X82" s="445">
        <f t="shared" si="15"/>
        <v>8.911230388417193E-4</v>
      </c>
      <c r="Y82" s="43"/>
      <c r="Z82" s="388">
        <f t="shared" si="23"/>
        <v>0.67844484668465288</v>
      </c>
      <c r="AA82" s="43"/>
      <c r="AB82" s="462">
        <f>IF('TAR_Tab 2_Volumina'!C85="storage",1,0)</f>
        <v>0</v>
      </c>
      <c r="AC82" s="389">
        <f t="shared" si="22"/>
        <v>0.67844484668465288</v>
      </c>
      <c r="AD82" s="389">
        <f t="shared" si="24"/>
        <v>0.72409816499909074</v>
      </c>
      <c r="AE82" s="43"/>
      <c r="AF82" s="1027">
        <f t="shared" si="25"/>
        <v>0.72409816499909074</v>
      </c>
      <c r="AG82" s="392">
        <f t="shared" si="26"/>
        <v>0.72399999999999998</v>
      </c>
      <c r="AH82" s="392">
        <f>AG82+'TAR_Tab 14_Overige tarieven'!$AA$14+'TAR_Tab 14_Overige tarieven'!$AA$15</f>
        <v>0.90400000000000003</v>
      </c>
      <c r="AI82" s="43"/>
    </row>
    <row r="83" spans="1:35">
      <c r="A83" s="96">
        <v>300189</v>
      </c>
      <c r="B83" s="1286" t="s">
        <v>74</v>
      </c>
      <c r="C83" s="1022"/>
      <c r="D83" s="1358"/>
      <c r="E83" s="1022"/>
      <c r="F83" s="1032">
        <v>1.263407284952335</v>
      </c>
      <c r="G83" s="390">
        <f t="shared" si="17"/>
        <v>1.2022583723606419</v>
      </c>
      <c r="H83" s="390">
        <f t="shared" si="18"/>
        <v>1.2303563594157556</v>
      </c>
      <c r="I83" s="387"/>
      <c r="J83" s="388">
        <f t="shared" si="19"/>
        <v>1.1688385414449678</v>
      </c>
      <c r="K83" s="388">
        <f t="shared" si="20"/>
        <v>1.2918741773865434</v>
      </c>
      <c r="L83" s="1316">
        <v>1.2398686370237</v>
      </c>
      <c r="M83" s="61" t="b">
        <f t="shared" si="16"/>
        <v>1</v>
      </c>
      <c r="N83" s="857">
        <f t="shared" si="21"/>
        <v>1.2398686370237</v>
      </c>
      <c r="O83" s="15"/>
      <c r="P83" s="445">
        <f t="shared" si="27"/>
        <v>-5.7502452654103094E-2</v>
      </c>
      <c r="Q83" s="445">
        <f t="shared" si="15"/>
        <v>5.9499716143479861E-2</v>
      </c>
      <c r="R83" s="445">
        <f t="shared" si="15"/>
        <v>0</v>
      </c>
      <c r="S83" s="445">
        <f t="shared" si="15"/>
        <v>2.2415031758086395E-3</v>
      </c>
      <c r="T83" s="445">
        <f t="shared" si="15"/>
        <v>5.1912788060577135E-2</v>
      </c>
      <c r="U83" s="445">
        <f t="shared" si="15"/>
        <v>-6.7938574820919856E-3</v>
      </c>
      <c r="V83" s="445">
        <f t="shared" si="15"/>
        <v>-2.5559258922000023E-4</v>
      </c>
      <c r="W83" s="445">
        <f t="shared" si="15"/>
        <v>-2.1133026145123392E-2</v>
      </c>
      <c r="X83" s="445">
        <f t="shared" si="15"/>
        <v>1.6674683621317285E-3</v>
      </c>
      <c r="Y83" s="43"/>
      <c r="Z83" s="388">
        <f t="shared" si="23"/>
        <v>1.269505183895159</v>
      </c>
      <c r="AA83" s="43"/>
      <c r="AB83" s="462">
        <f>IF('TAR_Tab 2_Volumina'!C86="storage",1,0)</f>
        <v>0</v>
      </c>
      <c r="AC83" s="389">
        <f t="shared" si="22"/>
        <v>1.269505183895159</v>
      </c>
      <c r="AD83" s="389">
        <f t="shared" si="24"/>
        <v>1.3549316184025666</v>
      </c>
      <c r="AE83" s="43"/>
      <c r="AF83" s="1027">
        <f t="shared" si="25"/>
        <v>1.3549316184025666</v>
      </c>
      <c r="AG83" s="392">
        <f t="shared" si="26"/>
        <v>1.355</v>
      </c>
      <c r="AH83" s="392">
        <f>AG83+'TAR_Tab 14_Overige tarieven'!$AA$14+'TAR_Tab 14_Overige tarieven'!$AA$15</f>
        <v>1.5349999999999999</v>
      </c>
      <c r="AI83" s="43"/>
    </row>
    <row r="84" spans="1:35">
      <c r="A84" s="96">
        <v>300191</v>
      </c>
      <c r="B84" s="1286" t="s">
        <v>75</v>
      </c>
      <c r="C84" s="1022"/>
      <c r="D84" s="1358"/>
      <c r="E84" s="1022"/>
      <c r="F84" s="1032">
        <v>1.0309110437702351</v>
      </c>
      <c r="G84" s="390">
        <f t="shared" si="17"/>
        <v>0.9810149492517557</v>
      </c>
      <c r="H84" s="390">
        <f t="shared" si="18"/>
        <v>1.0039422550444579</v>
      </c>
      <c r="I84" s="387"/>
      <c r="J84" s="388">
        <f t="shared" si="19"/>
        <v>0.95374514229223495</v>
      </c>
      <c r="K84" s="388">
        <f t="shared" si="20"/>
        <v>1.0541393677966808</v>
      </c>
      <c r="L84" s="1316">
        <v>0.95374514229223495</v>
      </c>
      <c r="M84" s="61" t="b">
        <f t="shared" si="16"/>
        <v>1</v>
      </c>
      <c r="N84" s="857">
        <f t="shared" si="21"/>
        <v>0.95374514229223495</v>
      </c>
      <c r="O84" s="15"/>
      <c r="P84" s="445">
        <f t="shared" si="27"/>
        <v>-4.423265759862248E-2</v>
      </c>
      <c r="Q84" s="445">
        <f t="shared" si="15"/>
        <v>4.5769014188336198E-2</v>
      </c>
      <c r="R84" s="445">
        <f t="shared" si="15"/>
        <v>0</v>
      </c>
      <c r="S84" s="445">
        <f t="shared" si="15"/>
        <v>1.7242332788511717E-3</v>
      </c>
      <c r="T84" s="445">
        <f t="shared" si="15"/>
        <v>3.9932915437295123E-2</v>
      </c>
      <c r="U84" s="445">
        <f t="shared" si="15"/>
        <v>-5.2260444191291602E-3</v>
      </c>
      <c r="V84" s="445">
        <f t="shared" si="15"/>
        <v>-1.9660969161994395E-4</v>
      </c>
      <c r="W84" s="445">
        <f t="shared" si="15"/>
        <v>-1.6256174586550945E-2</v>
      </c>
      <c r="X84" s="445">
        <f t="shared" ref="R84:X121" si="28">$N84*X$5</f>
        <v>1.2826680204821781E-3</v>
      </c>
      <c r="Y84" s="43"/>
      <c r="Z84" s="388">
        <f t="shared" si="23"/>
        <v>0.9765424869212771</v>
      </c>
      <c r="AA84" s="43"/>
      <c r="AB84" s="462">
        <f>IF('TAR_Tab 2_Volumina'!C87="storage",1,0)</f>
        <v>0</v>
      </c>
      <c r="AC84" s="389">
        <f t="shared" si="22"/>
        <v>0.9765424869212771</v>
      </c>
      <c r="AD84" s="389">
        <f t="shared" si="24"/>
        <v>1.0422551313917157</v>
      </c>
      <c r="AE84" s="43"/>
      <c r="AF84" s="1027">
        <f t="shared" si="25"/>
        <v>1.0422551313917157</v>
      </c>
      <c r="AG84" s="392">
        <f t="shared" si="26"/>
        <v>1.042</v>
      </c>
      <c r="AH84" s="392">
        <f>AG84+'TAR_Tab 14_Overige tarieven'!$AA$14+'TAR_Tab 14_Overige tarieven'!$AA$15</f>
        <v>1.222</v>
      </c>
      <c r="AI84" s="43"/>
    </row>
    <row r="85" spans="1:35">
      <c r="A85" s="96">
        <v>300192</v>
      </c>
      <c r="B85" s="1286" t="s">
        <v>758</v>
      </c>
      <c r="C85" s="1022"/>
      <c r="D85" s="1358"/>
      <c r="E85" s="1022"/>
      <c r="F85" s="1032">
        <v>0.34322014281480018</v>
      </c>
      <c r="G85" s="390">
        <f t="shared" si="17"/>
        <v>0.32660828790256385</v>
      </c>
      <c r="H85" s="390">
        <f t="shared" si="18"/>
        <v>0.33424145200152533</v>
      </c>
      <c r="I85" s="387"/>
      <c r="J85" s="388">
        <f t="shared" si="19"/>
        <v>0.31752937940144904</v>
      </c>
      <c r="K85" s="388">
        <f t="shared" si="20"/>
        <v>0.35095352460160162</v>
      </c>
      <c r="L85" s="1316">
        <v>0.3368255793197526</v>
      </c>
      <c r="M85" s="61" t="b">
        <f t="shared" si="16"/>
        <v>1</v>
      </c>
      <c r="N85" s="857">
        <f t="shared" si="21"/>
        <v>0.3368255793197526</v>
      </c>
      <c r="O85" s="15"/>
      <c r="P85" s="445">
        <f t="shared" si="27"/>
        <v>-1.5621249178476232E-2</v>
      </c>
      <c r="Q85" s="445">
        <f t="shared" ref="Q85:Q148" si="29">$N85*Q$5</f>
        <v>1.6163830393755945E-2</v>
      </c>
      <c r="R85" s="445">
        <f t="shared" si="28"/>
        <v>0</v>
      </c>
      <c r="S85" s="445">
        <f t="shared" si="28"/>
        <v>6.0893193294345627E-4</v>
      </c>
      <c r="T85" s="445">
        <f t="shared" si="28"/>
        <v>1.4102747977061052E-2</v>
      </c>
      <c r="U85" s="445">
        <f t="shared" si="28"/>
        <v>-1.8456350244608431E-3</v>
      </c>
      <c r="V85" s="445">
        <f t="shared" si="28"/>
        <v>-6.9434873472177779E-5</v>
      </c>
      <c r="W85" s="445">
        <f t="shared" si="28"/>
        <v>-5.7410467218509068E-3</v>
      </c>
      <c r="X85" s="445">
        <f t="shared" si="28"/>
        <v>4.5298830884262669E-4</v>
      </c>
      <c r="Y85" s="43"/>
      <c r="Z85" s="388">
        <f t="shared" si="23"/>
        <v>0.34487671213409554</v>
      </c>
      <c r="AA85" s="43"/>
      <c r="AB85" s="462">
        <f>IF('TAR_Tab 2_Volumina'!C88="storage",1,0)</f>
        <v>0</v>
      </c>
      <c r="AC85" s="389">
        <f t="shared" si="22"/>
        <v>0.34487671213409554</v>
      </c>
      <c r="AD85" s="389">
        <f t="shared" si="24"/>
        <v>0.36808385475627681</v>
      </c>
      <c r="AE85" s="43"/>
      <c r="AF85" s="1027">
        <f t="shared" si="25"/>
        <v>0.36808385475627681</v>
      </c>
      <c r="AG85" s="392">
        <f t="shared" si="26"/>
        <v>0.36799999999999999</v>
      </c>
      <c r="AH85" s="392">
        <f>AG85+'TAR_Tab 14_Overige tarieven'!$AA$14+'TAR_Tab 14_Overige tarieven'!$AA$15</f>
        <v>0.54800000000000004</v>
      </c>
      <c r="AI85" s="43"/>
    </row>
    <row r="86" spans="1:35">
      <c r="A86" s="96">
        <v>300193</v>
      </c>
      <c r="B86" s="1286" t="s">
        <v>76</v>
      </c>
      <c r="C86" s="1022"/>
      <c r="D86" s="1358"/>
      <c r="E86" s="1022"/>
      <c r="F86" s="1032">
        <v>1.1638995683303135</v>
      </c>
      <c r="G86" s="390">
        <f t="shared" si="17"/>
        <v>1.1075668292231262</v>
      </c>
      <c r="H86" s="390">
        <f t="shared" si="18"/>
        <v>1.1334517797010168</v>
      </c>
      <c r="I86" s="387"/>
      <c r="J86" s="388">
        <f t="shared" si="19"/>
        <v>1.0767791907159661</v>
      </c>
      <c r="K86" s="388">
        <f t="shared" si="20"/>
        <v>1.1901243686860676</v>
      </c>
      <c r="L86" s="1316">
        <v>1.1422148570819917</v>
      </c>
      <c r="M86" s="61" t="b">
        <f t="shared" si="16"/>
        <v>1</v>
      </c>
      <c r="N86" s="857">
        <f t="shared" si="21"/>
        <v>1.1422148570819917</v>
      </c>
      <c r="O86" s="15"/>
      <c r="P86" s="445">
        <f t="shared" si="27"/>
        <v>-5.2973479430720435E-2</v>
      </c>
      <c r="Q86" s="445">
        <f t="shared" si="29"/>
        <v>5.4813435667172901E-2</v>
      </c>
      <c r="R86" s="445">
        <f t="shared" si="28"/>
        <v>0</v>
      </c>
      <c r="S86" s="445">
        <f t="shared" si="28"/>
        <v>2.0649592651613754E-3</v>
      </c>
      <c r="T86" s="445">
        <f t="shared" si="28"/>
        <v>4.78240646022619E-2</v>
      </c>
      <c r="U86" s="445">
        <f t="shared" si="28"/>
        <v>-6.2587638086975695E-3</v>
      </c>
      <c r="V86" s="445">
        <f t="shared" si="28"/>
        <v>-2.3546176106844962E-4</v>
      </c>
      <c r="W86" s="445">
        <f t="shared" si="28"/>
        <v>-1.9468559585478652E-2</v>
      </c>
      <c r="X86" s="445">
        <f t="shared" si="28"/>
        <v>1.5361362325552789E-3</v>
      </c>
      <c r="Y86" s="43"/>
      <c r="Z86" s="388">
        <f t="shared" si="23"/>
        <v>1.1695171882631781</v>
      </c>
      <c r="AA86" s="43"/>
      <c r="AB86" s="462">
        <f>IF('TAR_Tab 2_Volumina'!C89="storage",1,0)</f>
        <v>0</v>
      </c>
      <c r="AC86" s="389">
        <f t="shared" si="22"/>
        <v>1.1695171882631781</v>
      </c>
      <c r="AD86" s="389">
        <f t="shared" si="24"/>
        <v>1.2482153178619169</v>
      </c>
      <c r="AE86" s="43"/>
      <c r="AF86" s="1027">
        <f t="shared" si="25"/>
        <v>1.2482153178619169</v>
      </c>
      <c r="AG86" s="392">
        <f t="shared" si="26"/>
        <v>1.248</v>
      </c>
      <c r="AH86" s="392">
        <f>AG86+'TAR_Tab 14_Overige tarieven'!$AA$14+'TAR_Tab 14_Overige tarieven'!$AA$15</f>
        <v>1.4279999999999999</v>
      </c>
      <c r="AI86" s="43"/>
    </row>
    <row r="87" spans="1:35">
      <c r="A87" s="96">
        <v>300196</v>
      </c>
      <c r="B87" s="1286" t="s">
        <v>759</v>
      </c>
      <c r="C87" s="1022"/>
      <c r="D87" s="1358"/>
      <c r="E87" s="1022"/>
      <c r="F87" s="1032">
        <v>1.225063046625098</v>
      </c>
      <c r="G87" s="390">
        <f t="shared" si="17"/>
        <v>1.1657699951684433</v>
      </c>
      <c r="H87" s="390">
        <f t="shared" si="18"/>
        <v>1.1930152121588367</v>
      </c>
      <c r="I87" s="387"/>
      <c r="J87" s="388">
        <f t="shared" si="19"/>
        <v>1.1333644515508947</v>
      </c>
      <c r="K87" s="388">
        <f t="shared" si="20"/>
        <v>1.2526659727667786</v>
      </c>
      <c r="L87" s="1316">
        <v>1.2022387934421848</v>
      </c>
      <c r="M87" s="61" t="b">
        <f t="shared" si="16"/>
        <v>1</v>
      </c>
      <c r="N87" s="857">
        <f t="shared" si="21"/>
        <v>1.2022387934421848</v>
      </c>
      <c r="O87" s="15"/>
      <c r="P87" s="445">
        <f t="shared" si="27"/>
        <v>-5.5757261079516937E-2</v>
      </c>
      <c r="Q87" s="445">
        <f t="shared" si="29"/>
        <v>5.7693907895117094E-2</v>
      </c>
      <c r="R87" s="445">
        <f t="shared" si="28"/>
        <v>0</v>
      </c>
      <c r="S87" s="445">
        <f t="shared" si="28"/>
        <v>2.1734738609486197E-3</v>
      </c>
      <c r="T87" s="445">
        <f t="shared" si="28"/>
        <v>5.0337242042017324E-2</v>
      </c>
      <c r="U87" s="445">
        <f t="shared" si="28"/>
        <v>-6.5876648365711509E-3</v>
      </c>
      <c r="V87" s="445">
        <f t="shared" si="28"/>
        <v>-2.4783538908948412E-4</v>
      </c>
      <c r="W87" s="445">
        <f t="shared" si="28"/>
        <v>-2.0491641691562233E-2</v>
      </c>
      <c r="X87" s="445">
        <f t="shared" si="28"/>
        <v>1.6168609253674876E-3</v>
      </c>
      <c r="Y87" s="43"/>
      <c r="Z87" s="388">
        <f t="shared" si="23"/>
        <v>1.2309758751688955</v>
      </c>
      <c r="AA87" s="43"/>
      <c r="AB87" s="462">
        <f>IF('TAR_Tab 2_Volumina'!C90="storage",1,0)</f>
        <v>0</v>
      </c>
      <c r="AC87" s="389">
        <f t="shared" si="22"/>
        <v>1.2309758751688955</v>
      </c>
      <c r="AD87" s="389">
        <f t="shared" si="24"/>
        <v>1.3138096290710763</v>
      </c>
      <c r="AE87" s="43"/>
      <c r="AF87" s="1027">
        <f t="shared" si="25"/>
        <v>1.3138096290710763</v>
      </c>
      <c r="AG87" s="392">
        <f t="shared" si="26"/>
        <v>1.3140000000000001</v>
      </c>
      <c r="AH87" s="392">
        <f>AG87+'TAR_Tab 14_Overige tarieven'!$AA$14+'TAR_Tab 14_Overige tarieven'!$AA$15</f>
        <v>1.494</v>
      </c>
      <c r="AI87" s="43"/>
    </row>
    <row r="88" spans="1:35">
      <c r="A88" s="96">
        <v>300197</v>
      </c>
      <c r="B88" s="1286" t="s">
        <v>30</v>
      </c>
      <c r="C88" s="1022"/>
      <c r="D88" s="1358"/>
      <c r="E88" s="1022"/>
      <c r="F88" s="1032">
        <v>0.98106288609894199</v>
      </c>
      <c r="G88" s="390">
        <f t="shared" si="17"/>
        <v>0.93357944241175317</v>
      </c>
      <c r="H88" s="390">
        <f t="shared" si="18"/>
        <v>0.95539813271232443</v>
      </c>
      <c r="I88" s="387"/>
      <c r="J88" s="388">
        <f t="shared" si="19"/>
        <v>0.90762822607670812</v>
      </c>
      <c r="K88" s="388">
        <f t="shared" si="20"/>
        <v>1.0031680393479407</v>
      </c>
      <c r="L88" s="1316">
        <v>0.96278462053345204</v>
      </c>
      <c r="M88" s="61" t="b">
        <f t="shared" si="16"/>
        <v>1</v>
      </c>
      <c r="N88" s="857">
        <f t="shared" si="21"/>
        <v>0.96278462053345204</v>
      </c>
      <c r="O88" s="15"/>
      <c r="P88" s="445">
        <f t="shared" si="27"/>
        <v>-4.4651889244670999E-2</v>
      </c>
      <c r="Q88" s="445">
        <f t="shared" si="29"/>
        <v>4.620280723170947E-2</v>
      </c>
      <c r="R88" s="445">
        <f t="shared" si="28"/>
        <v>0</v>
      </c>
      <c r="S88" s="445">
        <f t="shared" si="28"/>
        <v>1.7405753481481096E-3</v>
      </c>
      <c r="T88" s="445">
        <f t="shared" si="28"/>
        <v>4.0311394660094861E-2</v>
      </c>
      <c r="U88" s="445">
        <f t="shared" si="28"/>
        <v>-5.2755762203615247E-3</v>
      </c>
      <c r="V88" s="445">
        <f t="shared" si="28"/>
        <v>-1.9847313390719841E-4</v>
      </c>
      <c r="W88" s="445">
        <f t="shared" si="28"/>
        <v>-1.6410248594317191E-2</v>
      </c>
      <c r="X88" s="445">
        <f t="shared" si="28"/>
        <v>1.2948249889926408E-3</v>
      </c>
      <c r="Y88" s="43"/>
      <c r="Z88" s="388">
        <f t="shared" si="23"/>
        <v>0.98579803556914025</v>
      </c>
      <c r="AA88" s="43"/>
      <c r="AB88" s="462">
        <f>IF('TAR_Tab 2_Volumina'!C91="storage",1,0)</f>
        <v>0</v>
      </c>
      <c r="AC88" s="389">
        <f t="shared" si="22"/>
        <v>0.98579803556914025</v>
      </c>
      <c r="AD88" s="389">
        <f t="shared" si="24"/>
        <v>1.0521334963387379</v>
      </c>
      <c r="AE88" s="43"/>
      <c r="AF88" s="1027">
        <f t="shared" si="25"/>
        <v>1.0521334963387379</v>
      </c>
      <c r="AG88" s="392">
        <f t="shared" si="26"/>
        <v>1.052</v>
      </c>
      <c r="AH88" s="392">
        <f>AG88+'TAR_Tab 14_Overige tarieven'!$AA$14+'TAR_Tab 14_Overige tarieven'!$AA$15</f>
        <v>1.232</v>
      </c>
      <c r="AI88" s="43"/>
    </row>
    <row r="89" spans="1:35">
      <c r="A89" s="96">
        <v>300200</v>
      </c>
      <c r="B89" s="1286" t="s">
        <v>31</v>
      </c>
      <c r="C89" s="1022"/>
      <c r="D89" s="1358"/>
      <c r="E89" s="1022"/>
      <c r="F89" s="1032">
        <v>0.80084699990120045</v>
      </c>
      <c r="G89" s="390">
        <f t="shared" si="17"/>
        <v>0.76208600510598234</v>
      </c>
      <c r="H89" s="390">
        <f t="shared" si="18"/>
        <v>0.77989672133689236</v>
      </c>
      <c r="I89" s="387"/>
      <c r="J89" s="388">
        <f t="shared" si="19"/>
        <v>0.74090188527004774</v>
      </c>
      <c r="K89" s="388">
        <f t="shared" si="20"/>
        <v>0.81889155740373698</v>
      </c>
      <c r="L89" s="1316">
        <v>0.78592635174608938</v>
      </c>
      <c r="M89" s="61" t="b">
        <f t="shared" si="16"/>
        <v>1</v>
      </c>
      <c r="N89" s="857">
        <f t="shared" si="21"/>
        <v>0.78592635174608938</v>
      </c>
      <c r="O89" s="15"/>
      <c r="P89" s="445">
        <f t="shared" si="27"/>
        <v>-3.644958141644454E-2</v>
      </c>
      <c r="Q89" s="445">
        <f t="shared" si="29"/>
        <v>3.7715604252097204E-2</v>
      </c>
      <c r="R89" s="445">
        <f t="shared" si="28"/>
        <v>0</v>
      </c>
      <c r="S89" s="445">
        <f t="shared" si="28"/>
        <v>1.4208411768680646E-3</v>
      </c>
      <c r="T89" s="445">
        <f t="shared" si="28"/>
        <v>3.290641194647579E-2</v>
      </c>
      <c r="U89" s="445">
        <f t="shared" si="28"/>
        <v>-4.3064817237419674E-3</v>
      </c>
      <c r="V89" s="445">
        <f t="shared" si="28"/>
        <v>-1.6201470476841481E-4</v>
      </c>
      <c r="W89" s="445">
        <f t="shared" si="28"/>
        <v>-1.3395775684318781E-2</v>
      </c>
      <c r="X89" s="445">
        <f t="shared" si="28"/>
        <v>1.0569727206327956E-3</v>
      </c>
      <c r="Y89" s="43"/>
      <c r="Z89" s="388">
        <f t="shared" si="23"/>
        <v>0.80471232831288952</v>
      </c>
      <c r="AA89" s="43"/>
      <c r="AB89" s="462">
        <f>IF('TAR_Tab 2_Volumina'!C92="storage",1,0)</f>
        <v>0</v>
      </c>
      <c r="AC89" s="389">
        <f t="shared" si="22"/>
        <v>0.80471232831288952</v>
      </c>
      <c r="AD89" s="389">
        <f t="shared" si="24"/>
        <v>0.85886232776464577</v>
      </c>
      <c r="AE89" s="43"/>
      <c r="AF89" s="1027">
        <f t="shared" si="25"/>
        <v>0.85886232776464577</v>
      </c>
      <c r="AG89" s="392">
        <f t="shared" si="26"/>
        <v>0.85899999999999999</v>
      </c>
      <c r="AH89" s="392">
        <f>AG89+'TAR_Tab 14_Overige tarieven'!$AA$14+'TAR_Tab 14_Overige tarieven'!$AA$15</f>
        <v>1.0390000000000001</v>
      </c>
      <c r="AI89" s="43"/>
    </row>
    <row r="90" spans="1:35">
      <c r="A90" s="96">
        <v>300201</v>
      </c>
      <c r="B90" s="1286" t="s">
        <v>1198</v>
      </c>
      <c r="C90" s="1022"/>
      <c r="D90" s="1358"/>
      <c r="E90" s="1022"/>
      <c r="F90" s="1032">
        <v>0.8808304550114342</v>
      </c>
      <c r="G90" s="390">
        <f t="shared" si="17"/>
        <v>0.83819826098888084</v>
      </c>
      <c r="H90" s="390">
        <f t="shared" si="18"/>
        <v>0.85778779717205622</v>
      </c>
      <c r="I90" s="387"/>
      <c r="J90" s="388">
        <f t="shared" si="19"/>
        <v>0.81489840731345342</v>
      </c>
      <c r="K90" s="388">
        <f t="shared" si="20"/>
        <v>0.90067718703065902</v>
      </c>
      <c r="L90" s="1316">
        <v>0.86441962834272801</v>
      </c>
      <c r="M90" s="61" t="b">
        <f t="shared" si="16"/>
        <v>1</v>
      </c>
      <c r="N90" s="857">
        <f t="shared" si="21"/>
        <v>0.86441962834272801</v>
      </c>
      <c r="O90" s="15"/>
      <c r="P90" s="445">
        <f t="shared" si="27"/>
        <v>-4.0089931519983253E-2</v>
      </c>
      <c r="Q90" s="445">
        <f t="shared" si="29"/>
        <v>4.1482396585745353E-2</v>
      </c>
      <c r="R90" s="445">
        <f t="shared" si="28"/>
        <v>0</v>
      </c>
      <c r="S90" s="445">
        <f t="shared" si="28"/>
        <v>1.5627456686159501E-3</v>
      </c>
      <c r="T90" s="445">
        <f t="shared" si="28"/>
        <v>3.6192893038475275E-2</v>
      </c>
      <c r="U90" s="445">
        <f t="shared" si="28"/>
        <v>-4.7365854610057039E-3</v>
      </c>
      <c r="V90" s="445">
        <f t="shared" si="28"/>
        <v>-1.7819569298169519E-4</v>
      </c>
      <c r="W90" s="445">
        <f t="shared" si="28"/>
        <v>-1.4733659728643921E-2</v>
      </c>
      <c r="X90" s="445">
        <f t="shared" si="28"/>
        <v>1.1625363678262103E-3</v>
      </c>
      <c r="Y90" s="43"/>
      <c r="Z90" s="388">
        <f t="shared" si="23"/>
        <v>0.88508182760077625</v>
      </c>
      <c r="AA90" s="43"/>
      <c r="AB90" s="462">
        <f>IF('TAR_Tab 2_Volumina'!C93="storage",1,0)</f>
        <v>0</v>
      </c>
      <c r="AC90" s="389">
        <f t="shared" si="22"/>
        <v>0.88508182760077625</v>
      </c>
      <c r="AD90" s="389">
        <f t="shared" si="24"/>
        <v>0.94463998123292281</v>
      </c>
      <c r="AE90" s="43"/>
      <c r="AF90" s="1027">
        <f t="shared" si="25"/>
        <v>0.94463998123292281</v>
      </c>
      <c r="AG90" s="392">
        <f t="shared" si="26"/>
        <v>0.94499999999999995</v>
      </c>
      <c r="AH90" s="392">
        <f>AG90+'TAR_Tab 14_Overige tarieven'!$AA$14+'TAR_Tab 14_Overige tarieven'!$AA$15</f>
        <v>1.125</v>
      </c>
      <c r="AI90" s="43"/>
    </row>
    <row r="91" spans="1:35">
      <c r="A91" s="96">
        <v>300203</v>
      </c>
      <c r="B91" s="1286" t="s">
        <v>77</v>
      </c>
      <c r="C91" s="1022"/>
      <c r="D91" s="1358"/>
      <c r="E91" s="1022"/>
      <c r="F91" s="1032">
        <v>0.34322014281480018</v>
      </c>
      <c r="G91" s="390">
        <f t="shared" si="17"/>
        <v>0.32660828790256385</v>
      </c>
      <c r="H91" s="390">
        <f t="shared" si="18"/>
        <v>0.33424145200152533</v>
      </c>
      <c r="I91" s="387"/>
      <c r="J91" s="388">
        <f t="shared" si="19"/>
        <v>0.31752937940144904</v>
      </c>
      <c r="K91" s="388">
        <f t="shared" si="20"/>
        <v>0.35095352460160162</v>
      </c>
      <c r="L91" s="1316">
        <v>0.31752937940144904</v>
      </c>
      <c r="M91" s="61" t="b">
        <f t="shared" si="16"/>
        <v>1</v>
      </c>
      <c r="N91" s="857">
        <f t="shared" si="21"/>
        <v>0.31752937940144904</v>
      </c>
      <c r="O91" s="15"/>
      <c r="P91" s="445">
        <f t="shared" si="27"/>
        <v>-1.4726332742110926E-2</v>
      </c>
      <c r="Q91" s="445">
        <f t="shared" si="29"/>
        <v>1.5237830345441994E-2</v>
      </c>
      <c r="R91" s="445">
        <f t="shared" si="28"/>
        <v>0</v>
      </c>
      <c r="S91" s="445">
        <f t="shared" si="28"/>
        <v>5.7404719426521757E-4</v>
      </c>
      <c r="T91" s="445">
        <f t="shared" si="28"/>
        <v>1.3294824051234489E-2</v>
      </c>
      <c r="U91" s="445">
        <f t="shared" si="28"/>
        <v>-1.7399015392542136E-3</v>
      </c>
      <c r="V91" s="445">
        <f t="shared" si="28"/>
        <v>-6.545706037815104E-5</v>
      </c>
      <c r="W91" s="445">
        <f t="shared" si="28"/>
        <v>-5.4121513169683956E-3</v>
      </c>
      <c r="X91" s="445">
        <f t="shared" si="28"/>
        <v>4.2703733152749926E-4</v>
      </c>
      <c r="Y91" s="43"/>
      <c r="Z91" s="388">
        <f t="shared" si="23"/>
        <v>0.32511927566520654</v>
      </c>
      <c r="AA91" s="43"/>
      <c r="AB91" s="462">
        <f>IF('TAR_Tab 2_Volumina'!C94="storage",1,0)</f>
        <v>0</v>
      </c>
      <c r="AC91" s="389">
        <f t="shared" si="22"/>
        <v>0.32511927566520654</v>
      </c>
      <c r="AD91" s="389">
        <f t="shared" si="24"/>
        <v>0.34699691812153166</v>
      </c>
      <c r="AE91" s="43"/>
      <c r="AF91" s="1027">
        <f t="shared" si="25"/>
        <v>0.34699691812153166</v>
      </c>
      <c r="AG91" s="392">
        <f t="shared" si="26"/>
        <v>0.34699999999999998</v>
      </c>
      <c r="AH91" s="392">
        <f>AG91+'TAR_Tab 14_Overige tarieven'!$AA$14+'TAR_Tab 14_Overige tarieven'!$AA$15</f>
        <v>0.52699999999999991</v>
      </c>
      <c r="AI91" s="43"/>
    </row>
    <row r="92" spans="1:35">
      <c r="A92" s="96">
        <v>300205</v>
      </c>
      <c r="B92" s="1286" t="s">
        <v>269</v>
      </c>
      <c r="C92" s="1022"/>
      <c r="D92" s="1358"/>
      <c r="E92" s="1022"/>
      <c r="F92" s="1032">
        <v>1.225063046625098</v>
      </c>
      <c r="G92" s="390">
        <f t="shared" si="17"/>
        <v>1.1657699951684433</v>
      </c>
      <c r="H92" s="390">
        <f t="shared" si="18"/>
        <v>1.1930152121588367</v>
      </c>
      <c r="I92" s="387"/>
      <c r="J92" s="388">
        <f t="shared" si="19"/>
        <v>1.1333644515508947</v>
      </c>
      <c r="K92" s="388">
        <f t="shared" si="20"/>
        <v>1.2526659727667786</v>
      </c>
      <c r="L92" s="1316">
        <v>1.2022387934421848</v>
      </c>
      <c r="M92" s="61" t="b">
        <f t="shared" si="16"/>
        <v>1</v>
      </c>
      <c r="N92" s="857">
        <f t="shared" si="21"/>
        <v>1.2022387934421848</v>
      </c>
      <c r="O92" s="15"/>
      <c r="P92" s="445">
        <f t="shared" si="27"/>
        <v>-5.5757261079516937E-2</v>
      </c>
      <c r="Q92" s="445">
        <f t="shared" si="29"/>
        <v>5.7693907895117094E-2</v>
      </c>
      <c r="R92" s="445">
        <f t="shared" si="28"/>
        <v>0</v>
      </c>
      <c r="S92" s="445">
        <f t="shared" si="28"/>
        <v>2.1734738609486197E-3</v>
      </c>
      <c r="T92" s="445">
        <f t="shared" si="28"/>
        <v>5.0337242042017324E-2</v>
      </c>
      <c r="U92" s="445">
        <f t="shared" si="28"/>
        <v>-6.5876648365711509E-3</v>
      </c>
      <c r="V92" s="445">
        <f t="shared" si="28"/>
        <v>-2.4783538908948412E-4</v>
      </c>
      <c r="W92" s="445">
        <f t="shared" si="28"/>
        <v>-2.0491641691562233E-2</v>
      </c>
      <c r="X92" s="445">
        <f t="shared" si="28"/>
        <v>1.6168609253674876E-3</v>
      </c>
      <c r="Y92" s="43"/>
      <c r="Z92" s="388">
        <f t="shared" si="23"/>
        <v>1.2309758751688955</v>
      </c>
      <c r="AA92" s="43"/>
      <c r="AB92" s="462">
        <f>IF('TAR_Tab 2_Volumina'!C95="storage",1,0)</f>
        <v>0</v>
      </c>
      <c r="AC92" s="389">
        <f t="shared" si="22"/>
        <v>1.2309758751688955</v>
      </c>
      <c r="AD92" s="389">
        <f t="shared" si="24"/>
        <v>1.3138096290710763</v>
      </c>
      <c r="AE92" s="43"/>
      <c r="AF92" s="1027">
        <f t="shared" si="25"/>
        <v>1.3138096290710763</v>
      </c>
      <c r="AG92" s="392">
        <f t="shared" si="26"/>
        <v>1.3140000000000001</v>
      </c>
      <c r="AH92" s="392">
        <f>AG92+'TAR_Tab 14_Overige tarieven'!$AA$14+'TAR_Tab 14_Overige tarieven'!$AA$15</f>
        <v>1.494</v>
      </c>
      <c r="AI92" s="43"/>
    </row>
    <row r="93" spans="1:35">
      <c r="A93" s="96">
        <v>300210</v>
      </c>
      <c r="B93" s="1286" t="s">
        <v>78</v>
      </c>
      <c r="C93" s="1022"/>
      <c r="D93" s="1358"/>
      <c r="E93" s="1022"/>
      <c r="F93" s="1032">
        <v>1.0438347116284923</v>
      </c>
      <c r="G93" s="390">
        <f t="shared" si="17"/>
        <v>0.99331311158567326</v>
      </c>
      <c r="H93" s="390">
        <f t="shared" si="18"/>
        <v>1.016527837798149</v>
      </c>
      <c r="I93" s="387"/>
      <c r="J93" s="388">
        <f t="shared" si="19"/>
        <v>0.96570144590824158</v>
      </c>
      <c r="K93" s="388">
        <f t="shared" si="20"/>
        <v>1.0673542296880565</v>
      </c>
      <c r="L93" s="1316">
        <v>1.0243869388751177</v>
      </c>
      <c r="M93" s="61" t="b">
        <f t="shared" si="16"/>
        <v>1</v>
      </c>
      <c r="N93" s="857">
        <f t="shared" si="21"/>
        <v>1.0243869388751177</v>
      </c>
      <c r="O93" s="15"/>
      <c r="P93" s="445">
        <f t="shared" si="27"/>
        <v>-4.7508872870233018E-2</v>
      </c>
      <c r="Q93" s="445">
        <f t="shared" si="29"/>
        <v>4.9159023999889022E-2</v>
      </c>
      <c r="R93" s="445">
        <f t="shared" si="28"/>
        <v>0</v>
      </c>
      <c r="S93" s="445">
        <f t="shared" si="28"/>
        <v>1.851943430279361E-3</v>
      </c>
      <c r="T93" s="445">
        <f t="shared" si="28"/>
        <v>4.2890658301917239E-2</v>
      </c>
      <c r="U93" s="445">
        <f t="shared" si="28"/>
        <v>-5.6131259888469887E-3</v>
      </c>
      <c r="V93" s="445">
        <f t="shared" si="28"/>
        <v>-2.1117213731508932E-4</v>
      </c>
      <c r="W93" s="445">
        <f t="shared" si="28"/>
        <v>-1.7460233540496414E-2</v>
      </c>
      <c r="X93" s="445">
        <f t="shared" si="28"/>
        <v>1.3776724083089914E-3</v>
      </c>
      <c r="Y93" s="43"/>
      <c r="Z93" s="388">
        <f t="shared" si="23"/>
        <v>1.0488728324786207</v>
      </c>
      <c r="AA93" s="43"/>
      <c r="AB93" s="462">
        <f>IF('TAR_Tab 2_Volumina'!C96="storage",1,0)</f>
        <v>0</v>
      </c>
      <c r="AC93" s="389">
        <f t="shared" si="22"/>
        <v>1.0488728324786207</v>
      </c>
      <c r="AD93" s="389">
        <f t="shared" si="24"/>
        <v>1.1194526674151071</v>
      </c>
      <c r="AE93" s="43"/>
      <c r="AF93" s="1027">
        <f t="shared" si="25"/>
        <v>1.1194526674151071</v>
      </c>
      <c r="AG93" s="392">
        <f t="shared" si="26"/>
        <v>1.119</v>
      </c>
      <c r="AH93" s="392">
        <f>AG93+'TAR_Tab 14_Overige tarieven'!$AA$14+'TAR_Tab 14_Overige tarieven'!$AA$15</f>
        <v>1.2989999999999999</v>
      </c>
      <c r="AI93" s="43"/>
    </row>
    <row r="94" spans="1:35">
      <c r="A94" s="96">
        <v>300216</v>
      </c>
      <c r="B94" s="1286" t="s">
        <v>79</v>
      </c>
      <c r="C94" s="1022"/>
      <c r="D94" s="1358"/>
      <c r="E94" s="1022"/>
      <c r="F94" s="1032">
        <v>1.2956782143828389</v>
      </c>
      <c r="G94" s="390">
        <f t="shared" si="17"/>
        <v>1.2329673888067094</v>
      </c>
      <c r="H94" s="390">
        <f t="shared" si="18"/>
        <v>1.261783076454652</v>
      </c>
      <c r="I94" s="387"/>
      <c r="J94" s="388">
        <f t="shared" si="19"/>
        <v>1.1986939226319193</v>
      </c>
      <c r="K94" s="388">
        <f t="shared" si="20"/>
        <v>1.3248722302773848</v>
      </c>
      <c r="L94" s="1316">
        <v>1.2715383240399469</v>
      </c>
      <c r="M94" s="61" t="b">
        <f t="shared" si="16"/>
        <v>1</v>
      </c>
      <c r="N94" s="857">
        <f t="shared" si="21"/>
        <v>1.2715383240399469</v>
      </c>
      <c r="O94" s="15"/>
      <c r="P94" s="445">
        <f t="shared" si="27"/>
        <v>-5.8971224928715593E-2</v>
      </c>
      <c r="Q94" s="445">
        <f t="shared" si="29"/>
        <v>6.1019504072258257E-2</v>
      </c>
      <c r="R94" s="445">
        <f t="shared" si="28"/>
        <v>0</v>
      </c>
      <c r="S94" s="445">
        <f t="shared" si="28"/>
        <v>2.2987573896051825E-3</v>
      </c>
      <c r="T94" s="445">
        <f t="shared" si="28"/>
        <v>5.3238784783879861E-2</v>
      </c>
      <c r="U94" s="445">
        <f t="shared" si="28"/>
        <v>-6.9673914627621713E-3</v>
      </c>
      <c r="V94" s="445">
        <f t="shared" si="28"/>
        <v>-2.6212113350490161E-4</v>
      </c>
      <c r="W94" s="445">
        <f t="shared" si="28"/>
        <v>-2.1672822300729696E-2</v>
      </c>
      <c r="X94" s="445">
        <f t="shared" si="28"/>
        <v>1.7100601331962596E-3</v>
      </c>
      <c r="Y94" s="43"/>
      <c r="Z94" s="388">
        <f t="shared" si="23"/>
        <v>1.3019318705931742</v>
      </c>
      <c r="AA94" s="43"/>
      <c r="AB94" s="462">
        <f>IF('TAR_Tab 2_Volumina'!C97="storage",1,0)</f>
        <v>0</v>
      </c>
      <c r="AC94" s="389">
        <f t="shared" si="22"/>
        <v>1.3019318705931742</v>
      </c>
      <c r="AD94" s="389">
        <f t="shared" si="24"/>
        <v>1.3895403333921095</v>
      </c>
      <c r="AE94" s="43"/>
      <c r="AF94" s="1027">
        <f t="shared" si="25"/>
        <v>1.3895403333921095</v>
      </c>
      <c r="AG94" s="392">
        <f t="shared" si="26"/>
        <v>1.39</v>
      </c>
      <c r="AH94" s="392">
        <f>AG94+'TAR_Tab 14_Overige tarieven'!$AA$14+'TAR_Tab 14_Overige tarieven'!$AA$15</f>
        <v>1.5699999999999998</v>
      </c>
      <c r="AI94" s="43"/>
    </row>
    <row r="95" spans="1:35">
      <c r="A95" s="96">
        <v>300217</v>
      </c>
      <c r="B95" s="1286" t="s">
        <v>270</v>
      </c>
      <c r="C95" s="1022"/>
      <c r="D95" s="1358"/>
      <c r="E95" s="1022"/>
      <c r="F95" s="1032">
        <v>0.80393062967145379</v>
      </c>
      <c r="G95" s="390">
        <f t="shared" si="17"/>
        <v>0.76502038719535548</v>
      </c>
      <c r="H95" s="390">
        <f t="shared" si="18"/>
        <v>0.78289968288626965</v>
      </c>
      <c r="I95" s="387"/>
      <c r="J95" s="388">
        <f t="shared" si="19"/>
        <v>0.7437546987419561</v>
      </c>
      <c r="K95" s="388">
        <f t="shared" si="20"/>
        <v>0.82204466703058321</v>
      </c>
      <c r="L95" s="1316">
        <v>0.78895253014941724</v>
      </c>
      <c r="M95" s="61" t="b">
        <f t="shared" si="16"/>
        <v>1</v>
      </c>
      <c r="N95" s="857">
        <f t="shared" si="21"/>
        <v>0.78895253014941724</v>
      </c>
      <c r="O95" s="15"/>
      <c r="P95" s="445">
        <f t="shared" si="27"/>
        <v>-3.658992909132238E-2</v>
      </c>
      <c r="Q95" s="445">
        <f t="shared" si="29"/>
        <v>3.7860826697944182E-2</v>
      </c>
      <c r="R95" s="445">
        <f t="shared" si="28"/>
        <v>0</v>
      </c>
      <c r="S95" s="445">
        <f t="shared" si="28"/>
        <v>1.4263120697506414E-3</v>
      </c>
      <c r="T95" s="445">
        <f t="shared" si="28"/>
        <v>3.3033116787129363E-2</v>
      </c>
      <c r="U95" s="445">
        <f t="shared" si="28"/>
        <v>-4.3230636616777042E-3</v>
      </c>
      <c r="V95" s="445">
        <f t="shared" si="28"/>
        <v>-1.6263853599573331E-4</v>
      </c>
      <c r="W95" s="445">
        <f t="shared" si="28"/>
        <v>-1.3447355589969796E-2</v>
      </c>
      <c r="X95" s="445">
        <f t="shared" si="28"/>
        <v>1.0610425523835435E-3</v>
      </c>
      <c r="Y95" s="43"/>
      <c r="Z95" s="388">
        <f t="shared" si="23"/>
        <v>0.80781084137765935</v>
      </c>
      <c r="AA95" s="43"/>
      <c r="AB95" s="462">
        <f>IF('TAR_Tab 2_Volumina'!C98="storage",1,0)</f>
        <v>0</v>
      </c>
      <c r="AC95" s="389">
        <f t="shared" si="22"/>
        <v>0.80781084137765935</v>
      </c>
      <c r="AD95" s="389">
        <f t="shared" si="24"/>
        <v>0.86216934326544792</v>
      </c>
      <c r="AE95" s="43"/>
      <c r="AF95" s="1027">
        <f t="shared" si="25"/>
        <v>0.86216934326544792</v>
      </c>
      <c r="AG95" s="392">
        <f t="shared" si="26"/>
        <v>0.86199999999999999</v>
      </c>
      <c r="AH95" s="392">
        <f>AG95+'TAR_Tab 14_Overige tarieven'!$AA$14+'TAR_Tab 14_Overige tarieven'!$AA$15</f>
        <v>1.042</v>
      </c>
      <c r="AI95" s="43"/>
    </row>
    <row r="96" spans="1:35">
      <c r="A96" s="96">
        <v>300220</v>
      </c>
      <c r="B96" s="1286" t="s">
        <v>649</v>
      </c>
      <c r="C96" s="1022"/>
      <c r="D96" s="1358"/>
      <c r="E96" s="1022"/>
      <c r="F96" s="1032">
        <v>1.6462417469524044</v>
      </c>
      <c r="G96" s="390">
        <f t="shared" si="17"/>
        <v>1.566563646399908</v>
      </c>
      <c r="H96" s="390">
        <f t="shared" si="18"/>
        <v>1.6031758140250152</v>
      </c>
      <c r="I96" s="387"/>
      <c r="J96" s="388">
        <f t="shared" si="19"/>
        <v>1.5230170233237643</v>
      </c>
      <c r="K96" s="388">
        <f t="shared" si="20"/>
        <v>1.6833346047262661</v>
      </c>
      <c r="L96" s="1316">
        <v>1.6155704777991673</v>
      </c>
      <c r="M96" s="61" t="b">
        <f t="shared" si="16"/>
        <v>1</v>
      </c>
      <c r="N96" s="857">
        <f t="shared" si="21"/>
        <v>1.6155704777991673</v>
      </c>
      <c r="O96" s="15"/>
      <c r="P96" s="445">
        <f t="shared" si="27"/>
        <v>-7.4926699599416974E-2</v>
      </c>
      <c r="Q96" s="445">
        <f t="shared" si="29"/>
        <v>7.7529168791289585E-2</v>
      </c>
      <c r="R96" s="445">
        <f t="shared" si="28"/>
        <v>0</v>
      </c>
      <c r="S96" s="445">
        <f t="shared" si="28"/>
        <v>2.9207177668615337E-3</v>
      </c>
      <c r="T96" s="445">
        <f t="shared" si="28"/>
        <v>6.7643269058115837E-2</v>
      </c>
      <c r="U96" s="445">
        <f t="shared" si="28"/>
        <v>-8.8525148960865215E-3</v>
      </c>
      <c r="V96" s="445">
        <f t="shared" si="28"/>
        <v>-3.3304160550371993E-4</v>
      </c>
      <c r="W96" s="445">
        <f t="shared" si="28"/>
        <v>-2.7536701975603463E-2</v>
      </c>
      <c r="X96" s="445">
        <f t="shared" si="28"/>
        <v>2.1727403840062273E-3</v>
      </c>
      <c r="Y96" s="43"/>
      <c r="Z96" s="388">
        <f t="shared" si="23"/>
        <v>1.6541874157228298</v>
      </c>
      <c r="AA96" s="43"/>
      <c r="AB96" s="462">
        <f>IF('TAR_Tab 2_Volumina'!C99="storage",1,0)</f>
        <v>0</v>
      </c>
      <c r="AC96" s="389">
        <f t="shared" si="22"/>
        <v>1.6541874157228298</v>
      </c>
      <c r="AD96" s="389">
        <f t="shared" si="24"/>
        <v>1.7654995511318761</v>
      </c>
      <c r="AE96" s="43"/>
      <c r="AF96" s="1027">
        <f t="shared" si="25"/>
        <v>1.7654995511318761</v>
      </c>
      <c r="AG96" s="392">
        <f t="shared" si="26"/>
        <v>1.7649999999999999</v>
      </c>
      <c r="AH96" s="392">
        <f>AG96+'TAR_Tab 14_Overige tarieven'!$AA$14+'TAR_Tab 14_Overige tarieven'!$AA$15</f>
        <v>1.9449999999999998</v>
      </c>
      <c r="AI96" s="43"/>
    </row>
    <row r="97" spans="1:35">
      <c r="A97" s="96">
        <v>300221</v>
      </c>
      <c r="B97" s="1286" t="s">
        <v>32</v>
      </c>
      <c r="C97" s="1022"/>
      <c r="D97" s="1358"/>
      <c r="E97" s="1022"/>
      <c r="F97" s="1032">
        <v>1.3576938392762452</v>
      </c>
      <c r="G97" s="390">
        <f t="shared" si="17"/>
        <v>1.291981457455275</v>
      </c>
      <c r="H97" s="390">
        <f t="shared" si="18"/>
        <v>1.3221763632272729</v>
      </c>
      <c r="I97" s="387"/>
      <c r="J97" s="388">
        <f t="shared" si="19"/>
        <v>1.2560675450659093</v>
      </c>
      <c r="K97" s="388">
        <f t="shared" si="20"/>
        <v>1.3882851813886365</v>
      </c>
      <c r="L97" s="1316">
        <v>1.3323985305834465</v>
      </c>
      <c r="M97" s="61" t="b">
        <f t="shared" si="16"/>
        <v>1</v>
      </c>
      <c r="N97" s="857">
        <f t="shared" si="21"/>
        <v>1.3323985305834465</v>
      </c>
      <c r="O97" s="15"/>
      <c r="P97" s="445">
        <f t="shared" si="27"/>
        <v>-6.1793790998043163E-2</v>
      </c>
      <c r="Q97" s="445">
        <f t="shared" si="29"/>
        <v>6.3940107840786811E-2</v>
      </c>
      <c r="R97" s="445">
        <f t="shared" si="28"/>
        <v>0</v>
      </c>
      <c r="S97" s="445">
        <f t="shared" si="28"/>
        <v>2.40878384093562E-3</v>
      </c>
      <c r="T97" s="445">
        <f t="shared" si="28"/>
        <v>5.5786976511029138E-2</v>
      </c>
      <c r="U97" s="445">
        <f t="shared" si="28"/>
        <v>-7.3008748312743104E-3</v>
      </c>
      <c r="V97" s="445">
        <f t="shared" si="28"/>
        <v>-2.7466715435454404E-4</v>
      </c>
      <c r="W97" s="445">
        <f t="shared" si="28"/>
        <v>-2.2710158271392531E-2</v>
      </c>
      <c r="X97" s="445">
        <f t="shared" si="28"/>
        <v>1.791909504890745E-3</v>
      </c>
      <c r="Y97" s="43"/>
      <c r="Z97" s="388">
        <f t="shared" si="23"/>
        <v>1.3642468170260242</v>
      </c>
      <c r="AA97" s="43"/>
      <c r="AB97" s="462">
        <f>IF('TAR_Tab 2_Volumina'!C100="storage",1,0)</f>
        <v>0</v>
      </c>
      <c r="AC97" s="389">
        <f t="shared" si="22"/>
        <v>1.3642468170260242</v>
      </c>
      <c r="AD97" s="389">
        <f t="shared" si="24"/>
        <v>1.4560485227969535</v>
      </c>
      <c r="AE97" s="43"/>
      <c r="AF97" s="1027">
        <f t="shared" si="25"/>
        <v>1.4560485227969535</v>
      </c>
      <c r="AG97" s="392">
        <f t="shared" si="26"/>
        <v>1.456</v>
      </c>
      <c r="AH97" s="392">
        <f>AG97+'TAR_Tab 14_Overige tarieven'!$AA$14+'TAR_Tab 14_Overige tarieven'!$AA$15</f>
        <v>1.6359999999999999</v>
      </c>
      <c r="AI97" s="43"/>
    </row>
    <row r="98" spans="1:35">
      <c r="A98" s="96">
        <v>300222</v>
      </c>
      <c r="B98" s="1286" t="s">
        <v>80</v>
      </c>
      <c r="C98" s="1022"/>
      <c r="D98" s="1358"/>
      <c r="E98" s="1022"/>
      <c r="F98" s="1032">
        <v>1.2908886105794122</v>
      </c>
      <c r="G98" s="390">
        <f t="shared" si="17"/>
        <v>1.2284096018273687</v>
      </c>
      <c r="H98" s="390">
        <f t="shared" si="18"/>
        <v>1.2571187694106651</v>
      </c>
      <c r="I98" s="387"/>
      <c r="J98" s="388">
        <f t="shared" si="19"/>
        <v>1.1942628309401317</v>
      </c>
      <c r="K98" s="388">
        <f t="shared" si="20"/>
        <v>1.3199747078811985</v>
      </c>
      <c r="L98" s="1316">
        <v>1.2668379557498735</v>
      </c>
      <c r="M98" s="61" t="b">
        <f t="shared" si="16"/>
        <v>1</v>
      </c>
      <c r="N98" s="857">
        <f t="shared" si="21"/>
        <v>1.2668379557498735</v>
      </c>
      <c r="O98" s="15"/>
      <c r="P98" s="445">
        <f t="shared" si="27"/>
        <v>-5.8753231911563703E-2</v>
      </c>
      <c r="Q98" s="445">
        <f t="shared" si="29"/>
        <v>6.0793939386873094E-2</v>
      </c>
      <c r="R98" s="445">
        <f t="shared" si="28"/>
        <v>0</v>
      </c>
      <c r="S98" s="445">
        <f t="shared" si="28"/>
        <v>2.2902598035423869E-3</v>
      </c>
      <c r="T98" s="445">
        <f t="shared" si="28"/>
        <v>5.3041982303711488E-2</v>
      </c>
      <c r="U98" s="445">
        <f t="shared" si="28"/>
        <v>-6.9416358050073627E-3</v>
      </c>
      <c r="V98" s="445">
        <f t="shared" si="28"/>
        <v>-2.6115217658021373E-4</v>
      </c>
      <c r="W98" s="445">
        <f t="shared" si="28"/>
        <v>-2.1592706550560968E-2</v>
      </c>
      <c r="X98" s="445">
        <f t="shared" si="28"/>
        <v>1.7037387252825317E-3</v>
      </c>
      <c r="Y98" s="43"/>
      <c r="Z98" s="388">
        <f t="shared" si="23"/>
        <v>1.2971191495255707</v>
      </c>
      <c r="AA98" s="43"/>
      <c r="AB98" s="462">
        <f>IF('TAR_Tab 2_Volumina'!C101="storage",1,0)</f>
        <v>0</v>
      </c>
      <c r="AC98" s="389">
        <f t="shared" si="22"/>
        <v>1.2971191495255707</v>
      </c>
      <c r="AD98" s="389">
        <f t="shared" si="24"/>
        <v>1.384403758900117</v>
      </c>
      <c r="AE98" s="43"/>
      <c r="AF98" s="1027">
        <f t="shared" si="25"/>
        <v>1.384403758900117</v>
      </c>
      <c r="AG98" s="392">
        <f t="shared" si="26"/>
        <v>1.3839999999999999</v>
      </c>
      <c r="AH98" s="392">
        <f>AG98+'TAR_Tab 14_Overige tarieven'!$AA$14+'TAR_Tab 14_Overige tarieven'!$AA$15</f>
        <v>1.5639999999999998</v>
      </c>
      <c r="AI98" s="43"/>
    </row>
    <row r="99" spans="1:35">
      <c r="A99" s="96">
        <v>300223</v>
      </c>
      <c r="B99" s="1286" t="s">
        <v>271</v>
      </c>
      <c r="C99" s="1022"/>
      <c r="D99" s="1358"/>
      <c r="E99" s="1022"/>
      <c r="F99" s="1032">
        <v>1.1410266662323403</v>
      </c>
      <c r="G99" s="390">
        <f t="shared" si="17"/>
        <v>1.0858009755866951</v>
      </c>
      <c r="H99" s="390">
        <f t="shared" si="18"/>
        <v>1.1111772361791337</v>
      </c>
      <c r="I99" s="387"/>
      <c r="J99" s="388">
        <f t="shared" si="19"/>
        <v>1.055618374370177</v>
      </c>
      <c r="K99" s="388">
        <f t="shared" si="20"/>
        <v>1.1667360979880903</v>
      </c>
      <c r="L99" s="1316">
        <v>1.1197681019565768</v>
      </c>
      <c r="M99" s="61" t="b">
        <f t="shared" si="16"/>
        <v>1</v>
      </c>
      <c r="N99" s="857">
        <f t="shared" si="21"/>
        <v>1.1197681019565768</v>
      </c>
      <c r="O99" s="15"/>
      <c r="P99" s="445">
        <f t="shared" si="27"/>
        <v>-5.193244698962584E-2</v>
      </c>
      <c r="Q99" s="445">
        <f t="shared" si="29"/>
        <v>5.3736244488669968E-2</v>
      </c>
      <c r="R99" s="445">
        <f t="shared" si="28"/>
        <v>0</v>
      </c>
      <c r="S99" s="445">
        <f t="shared" si="28"/>
        <v>2.024378778327709E-3</v>
      </c>
      <c r="T99" s="445">
        <f t="shared" si="28"/>
        <v>4.6884228230345458E-2</v>
      </c>
      <c r="U99" s="445">
        <f t="shared" si="28"/>
        <v>-6.1357668631311733E-3</v>
      </c>
      <c r="V99" s="445">
        <f t="shared" si="28"/>
        <v>-2.3083447710402558E-4</v>
      </c>
      <c r="W99" s="445">
        <f t="shared" si="28"/>
        <v>-1.9085964325970119E-2</v>
      </c>
      <c r="X99" s="445">
        <f t="shared" si="28"/>
        <v>1.5059481522325148E-3</v>
      </c>
      <c r="Y99" s="43"/>
      <c r="Z99" s="388">
        <f t="shared" si="23"/>
        <v>1.1465338889503214</v>
      </c>
      <c r="AA99" s="43"/>
      <c r="AB99" s="462">
        <f>IF('TAR_Tab 2_Volumina'!C102="storage",1,0)</f>
        <v>0</v>
      </c>
      <c r="AC99" s="389">
        <f t="shared" si="22"/>
        <v>1.1465338889503214</v>
      </c>
      <c r="AD99" s="389">
        <f t="shared" si="24"/>
        <v>1.223685446437011</v>
      </c>
      <c r="AE99" s="43"/>
      <c r="AF99" s="1027">
        <f t="shared" si="25"/>
        <v>1.223685446437011</v>
      </c>
      <c r="AG99" s="392">
        <f t="shared" si="26"/>
        <v>1.224</v>
      </c>
      <c r="AH99" s="392">
        <f>AG99+'TAR_Tab 14_Overige tarieven'!$AA$14+'TAR_Tab 14_Overige tarieven'!$AA$15</f>
        <v>1.4039999999999999</v>
      </c>
      <c r="AI99" s="43"/>
    </row>
    <row r="100" spans="1:35">
      <c r="A100" s="96">
        <v>300225</v>
      </c>
      <c r="B100" s="1286" t="s">
        <v>81</v>
      </c>
      <c r="C100" s="1022"/>
      <c r="D100" s="1358"/>
      <c r="E100" s="1022"/>
      <c r="F100" s="1032">
        <v>1.3070713993330594</v>
      </c>
      <c r="G100" s="390">
        <f t="shared" si="17"/>
        <v>1.2438091436053393</v>
      </c>
      <c r="H100" s="390">
        <f t="shared" si="18"/>
        <v>1.2728782139645112</v>
      </c>
      <c r="I100" s="387"/>
      <c r="J100" s="388">
        <f t="shared" si="19"/>
        <v>1.2092343032662856</v>
      </c>
      <c r="K100" s="388">
        <f t="shared" si="20"/>
        <v>1.3365221246627368</v>
      </c>
      <c r="L100" s="1316">
        <v>1.2827192415982323</v>
      </c>
      <c r="M100" s="61" t="b">
        <f t="shared" si="16"/>
        <v>1</v>
      </c>
      <c r="N100" s="857">
        <f t="shared" si="21"/>
        <v>1.2827192415982323</v>
      </c>
      <c r="O100" s="15"/>
      <c r="P100" s="445">
        <f t="shared" si="27"/>
        <v>-5.9489771945170564E-2</v>
      </c>
      <c r="Q100" s="445">
        <f t="shared" si="29"/>
        <v>6.1556062059996849E-2</v>
      </c>
      <c r="R100" s="445">
        <f t="shared" si="28"/>
        <v>0</v>
      </c>
      <c r="S100" s="445">
        <f t="shared" si="28"/>
        <v>2.3189708714749331E-3</v>
      </c>
      <c r="T100" s="445">
        <f t="shared" si="28"/>
        <v>5.3706925186978831E-2</v>
      </c>
      <c r="U100" s="445">
        <f t="shared" si="28"/>
        <v>-7.028657276044098E-3</v>
      </c>
      <c r="V100" s="445">
        <f t="shared" si="28"/>
        <v>-2.6442602257398685E-4</v>
      </c>
      <c r="W100" s="445">
        <f t="shared" si="28"/>
        <v>-2.1863396218022191E-2</v>
      </c>
      <c r="X100" s="445">
        <f t="shared" si="28"/>
        <v>1.7250970699582042E-3</v>
      </c>
      <c r="Y100" s="43"/>
      <c r="Z100" s="388">
        <f t="shared" si="23"/>
        <v>1.3133800453248303</v>
      </c>
      <c r="AA100" s="43"/>
      <c r="AB100" s="462">
        <f>IF('TAR_Tab 2_Volumina'!C103="storage",1,0)</f>
        <v>0</v>
      </c>
      <c r="AC100" s="389">
        <f t="shared" si="22"/>
        <v>1.3133800453248303</v>
      </c>
      <c r="AD100" s="389">
        <f t="shared" si="24"/>
        <v>1.4017588687031075</v>
      </c>
      <c r="AE100" s="43"/>
      <c r="AF100" s="1027">
        <f t="shared" si="25"/>
        <v>1.4017588687031075</v>
      </c>
      <c r="AG100" s="392">
        <f t="shared" si="26"/>
        <v>1.4019999999999999</v>
      </c>
      <c r="AH100" s="392">
        <f>AG100+'TAR_Tab 14_Overige tarieven'!$AA$14+'TAR_Tab 14_Overige tarieven'!$AA$15</f>
        <v>1.5819999999999999</v>
      </c>
      <c r="AI100" s="43"/>
    </row>
    <row r="101" spans="1:35">
      <c r="A101" s="96">
        <v>300227</v>
      </c>
      <c r="B101" s="1286" t="s">
        <v>760</v>
      </c>
      <c r="C101" s="1022"/>
      <c r="D101" s="1358"/>
      <c r="E101" s="1022"/>
      <c r="F101" s="1032">
        <v>0.80084699990120045</v>
      </c>
      <c r="G101" s="390">
        <f t="shared" si="17"/>
        <v>0.76208600510598234</v>
      </c>
      <c r="H101" s="390">
        <f t="shared" si="18"/>
        <v>0.77989672133689236</v>
      </c>
      <c r="I101" s="387"/>
      <c r="J101" s="388">
        <f t="shared" si="19"/>
        <v>0.74090188527004774</v>
      </c>
      <c r="K101" s="388">
        <f t="shared" si="20"/>
        <v>0.81889155740373698</v>
      </c>
      <c r="L101" s="1316">
        <v>0.78592635174608938</v>
      </c>
      <c r="M101" s="61" t="b">
        <f t="shared" si="16"/>
        <v>1</v>
      </c>
      <c r="N101" s="857">
        <f t="shared" si="21"/>
        <v>0.78592635174608938</v>
      </c>
      <c r="O101" s="15"/>
      <c r="P101" s="445">
        <f t="shared" si="27"/>
        <v>-3.644958141644454E-2</v>
      </c>
      <c r="Q101" s="445">
        <f t="shared" si="29"/>
        <v>3.7715604252097204E-2</v>
      </c>
      <c r="R101" s="445">
        <f t="shared" si="28"/>
        <v>0</v>
      </c>
      <c r="S101" s="445">
        <f t="shared" si="28"/>
        <v>1.4208411768680646E-3</v>
      </c>
      <c r="T101" s="445">
        <f t="shared" si="28"/>
        <v>3.290641194647579E-2</v>
      </c>
      <c r="U101" s="445">
        <f t="shared" si="28"/>
        <v>-4.3064817237419674E-3</v>
      </c>
      <c r="V101" s="445">
        <f t="shared" si="28"/>
        <v>-1.6201470476841481E-4</v>
      </c>
      <c r="W101" s="445">
        <f t="shared" si="28"/>
        <v>-1.3395775684318781E-2</v>
      </c>
      <c r="X101" s="445">
        <f t="shared" si="28"/>
        <v>1.0569727206327956E-3</v>
      </c>
      <c r="Y101" s="43"/>
      <c r="Z101" s="388">
        <f t="shared" si="23"/>
        <v>0.80471232831288952</v>
      </c>
      <c r="AA101" s="43"/>
      <c r="AB101" s="462">
        <f>IF('TAR_Tab 2_Volumina'!C104="storage",1,0)</f>
        <v>0</v>
      </c>
      <c r="AC101" s="389">
        <f t="shared" si="22"/>
        <v>0.80471232831288952</v>
      </c>
      <c r="AD101" s="389">
        <f t="shared" si="24"/>
        <v>0.85886232776464577</v>
      </c>
      <c r="AE101" s="43"/>
      <c r="AF101" s="1027">
        <f t="shared" si="25"/>
        <v>0.85886232776464577</v>
      </c>
      <c r="AG101" s="392">
        <f t="shared" si="26"/>
        <v>0.85899999999999999</v>
      </c>
      <c r="AH101" s="392">
        <f>AG101+'TAR_Tab 14_Overige tarieven'!$AA$14+'TAR_Tab 14_Overige tarieven'!$AA$15</f>
        <v>1.0390000000000001</v>
      </c>
      <c r="AI101" s="43"/>
    </row>
    <row r="102" spans="1:35">
      <c r="A102" s="96">
        <v>300228</v>
      </c>
      <c r="B102" s="1286" t="s">
        <v>761</v>
      </c>
      <c r="C102" s="1022"/>
      <c r="D102" s="1358"/>
      <c r="E102" s="1022"/>
      <c r="F102" s="1032">
        <v>0.91019147017848201</v>
      </c>
      <c r="G102" s="390">
        <f t="shared" si="17"/>
        <v>0.86613820302184352</v>
      </c>
      <c r="H102" s="390">
        <f t="shared" si="18"/>
        <v>0.88638072374445809</v>
      </c>
      <c r="I102" s="387"/>
      <c r="J102" s="388">
        <f t="shared" si="19"/>
        <v>0.84206168755723509</v>
      </c>
      <c r="K102" s="388">
        <f t="shared" si="20"/>
        <v>0.93069975993168108</v>
      </c>
      <c r="L102" s="1316">
        <v>0.89323361595415229</v>
      </c>
      <c r="M102" s="61" t="b">
        <f t="shared" si="16"/>
        <v>1</v>
      </c>
      <c r="N102" s="857">
        <f t="shared" si="21"/>
        <v>0.89323361595415229</v>
      </c>
      <c r="O102" s="15"/>
      <c r="P102" s="445">
        <f t="shared" si="27"/>
        <v>-4.1426262570649366E-2</v>
      </c>
      <c r="Q102" s="445">
        <f t="shared" si="29"/>
        <v>4.2865143138603533E-2</v>
      </c>
      <c r="R102" s="445">
        <f t="shared" si="28"/>
        <v>0</v>
      </c>
      <c r="S102" s="445">
        <f t="shared" si="28"/>
        <v>1.6148371909031484E-3</v>
      </c>
      <c r="T102" s="445">
        <f t="shared" si="28"/>
        <v>3.7399322806424447E-2</v>
      </c>
      <c r="U102" s="445">
        <f t="shared" si="28"/>
        <v>-4.8944716430392278E-3</v>
      </c>
      <c r="V102" s="445">
        <f t="shared" si="28"/>
        <v>-1.8413554941441838E-4</v>
      </c>
      <c r="W102" s="445">
        <f t="shared" si="28"/>
        <v>-1.5224781719598719E-2</v>
      </c>
      <c r="X102" s="445">
        <f t="shared" si="28"/>
        <v>1.2012875800870839E-3</v>
      </c>
      <c r="Y102" s="43"/>
      <c r="Z102" s="388">
        <f t="shared" si="23"/>
        <v>0.91458455518746873</v>
      </c>
      <c r="AA102" s="43"/>
      <c r="AB102" s="462">
        <f>IF('TAR_Tab 2_Volumina'!C105="storage",1,0)</f>
        <v>0</v>
      </c>
      <c r="AC102" s="389">
        <f t="shared" si="22"/>
        <v>0.91458455518746873</v>
      </c>
      <c r="AD102" s="389">
        <f t="shared" si="24"/>
        <v>0.97612798060735351</v>
      </c>
      <c r="AE102" s="43"/>
      <c r="AF102" s="1027">
        <f t="shared" si="25"/>
        <v>0.97612798060735351</v>
      </c>
      <c r="AG102" s="392">
        <f t="shared" si="26"/>
        <v>0.97599999999999998</v>
      </c>
      <c r="AH102" s="392">
        <f>AG102+'TAR_Tab 14_Overige tarieven'!$AA$14+'TAR_Tab 14_Overige tarieven'!$AA$15</f>
        <v>1.1559999999999999</v>
      </c>
      <c r="AI102" s="43"/>
    </row>
    <row r="103" spans="1:35">
      <c r="A103" s="96">
        <v>300231</v>
      </c>
      <c r="B103" s="1286" t="s">
        <v>762</v>
      </c>
      <c r="C103" s="1022"/>
      <c r="D103" s="1358"/>
      <c r="E103" s="1022"/>
      <c r="F103" s="1032">
        <v>0.8808304550114342</v>
      </c>
      <c r="G103" s="390">
        <f t="shared" si="17"/>
        <v>0.83819826098888084</v>
      </c>
      <c r="H103" s="390">
        <f t="shared" si="18"/>
        <v>0.85778779717205622</v>
      </c>
      <c r="I103" s="387"/>
      <c r="J103" s="388">
        <f t="shared" si="19"/>
        <v>0.81489840731345342</v>
      </c>
      <c r="K103" s="388">
        <f t="shared" si="20"/>
        <v>0.90067718703065902</v>
      </c>
      <c r="L103" s="1316">
        <v>0.86441962834272801</v>
      </c>
      <c r="M103" s="61" t="b">
        <f t="shared" si="16"/>
        <v>1</v>
      </c>
      <c r="N103" s="857">
        <f t="shared" si="21"/>
        <v>0.86441962834272801</v>
      </c>
      <c r="O103" s="15"/>
      <c r="P103" s="445">
        <f t="shared" si="27"/>
        <v>-4.0089931519983253E-2</v>
      </c>
      <c r="Q103" s="445">
        <f t="shared" si="29"/>
        <v>4.1482396585745353E-2</v>
      </c>
      <c r="R103" s="445">
        <f t="shared" si="28"/>
        <v>0</v>
      </c>
      <c r="S103" s="445">
        <f t="shared" si="28"/>
        <v>1.5627456686159501E-3</v>
      </c>
      <c r="T103" s="445">
        <f t="shared" si="28"/>
        <v>3.6192893038475275E-2</v>
      </c>
      <c r="U103" s="445">
        <f t="shared" si="28"/>
        <v>-4.7365854610057039E-3</v>
      </c>
      <c r="V103" s="445">
        <f t="shared" si="28"/>
        <v>-1.7819569298169519E-4</v>
      </c>
      <c r="W103" s="445">
        <f t="shared" si="28"/>
        <v>-1.4733659728643921E-2</v>
      </c>
      <c r="X103" s="445">
        <f t="shared" si="28"/>
        <v>1.1625363678262103E-3</v>
      </c>
      <c r="Y103" s="43"/>
      <c r="Z103" s="388">
        <f t="shared" si="23"/>
        <v>0.88508182760077625</v>
      </c>
      <c r="AA103" s="43"/>
      <c r="AB103" s="462">
        <f>IF('TAR_Tab 2_Volumina'!C106="storage",1,0)</f>
        <v>0</v>
      </c>
      <c r="AC103" s="389">
        <f t="shared" si="22"/>
        <v>0.88508182760077625</v>
      </c>
      <c r="AD103" s="389">
        <f t="shared" si="24"/>
        <v>0.94463998123292281</v>
      </c>
      <c r="AE103" s="43"/>
      <c r="AF103" s="1027">
        <f t="shared" si="25"/>
        <v>0.94463998123292281</v>
      </c>
      <c r="AG103" s="392">
        <f t="shared" si="26"/>
        <v>0.94499999999999995</v>
      </c>
      <c r="AH103" s="392">
        <f>AG103+'TAR_Tab 14_Overige tarieven'!$AA$14+'TAR_Tab 14_Overige tarieven'!$AA$15</f>
        <v>1.125</v>
      </c>
      <c r="AI103" s="43"/>
    </row>
    <row r="104" spans="1:35">
      <c r="A104" s="96">
        <v>300234</v>
      </c>
      <c r="B104" s="1286" t="s">
        <v>82</v>
      </c>
      <c r="C104" s="1022"/>
      <c r="D104" s="1358"/>
      <c r="E104" s="1022"/>
      <c r="F104" s="1032">
        <v>0.86992493509224478</v>
      </c>
      <c r="G104" s="390">
        <f t="shared" si="17"/>
        <v>0.82782056823378014</v>
      </c>
      <c r="H104" s="390">
        <f t="shared" si="18"/>
        <v>0.84716756730230669</v>
      </c>
      <c r="I104" s="387"/>
      <c r="J104" s="388">
        <f t="shared" si="19"/>
        <v>0.80480918893719133</v>
      </c>
      <c r="K104" s="388">
        <f t="shared" si="20"/>
        <v>0.88952594566742205</v>
      </c>
      <c r="L104" s="1316">
        <v>0.85371729008705588</v>
      </c>
      <c r="M104" s="61" t="b">
        <f t="shared" si="16"/>
        <v>1</v>
      </c>
      <c r="N104" s="857">
        <f t="shared" si="21"/>
        <v>0.85371729008705588</v>
      </c>
      <c r="O104" s="15"/>
      <c r="P104" s="445">
        <f t="shared" si="27"/>
        <v>-3.9593579986878687E-2</v>
      </c>
      <c r="Q104" s="445">
        <f t="shared" si="29"/>
        <v>4.0968805008969447E-2</v>
      </c>
      <c r="R104" s="445">
        <f t="shared" si="28"/>
        <v>0</v>
      </c>
      <c r="S104" s="445">
        <f t="shared" si="28"/>
        <v>1.5433973889092758E-3</v>
      </c>
      <c r="T104" s="445">
        <f t="shared" si="28"/>
        <v>3.5744790553236996E-2</v>
      </c>
      <c r="U104" s="445">
        <f t="shared" si="28"/>
        <v>-4.6779420219646801E-3</v>
      </c>
      <c r="V104" s="445">
        <f t="shared" si="28"/>
        <v>-1.7598946059239797E-4</v>
      </c>
      <c r="W104" s="445">
        <f t="shared" si="28"/>
        <v>-1.455124298914642E-2</v>
      </c>
      <c r="X104" s="445">
        <f t="shared" si="28"/>
        <v>1.1481430604150284E-3</v>
      </c>
      <c r="Y104" s="43"/>
      <c r="Z104" s="388">
        <f t="shared" si="23"/>
        <v>0.87412367164000448</v>
      </c>
      <c r="AA104" s="43"/>
      <c r="AB104" s="462">
        <f>IF('TAR_Tab 2_Volumina'!C107="storage",1,0)</f>
        <v>0</v>
      </c>
      <c r="AC104" s="389">
        <f t="shared" si="22"/>
        <v>0.87412367164000448</v>
      </c>
      <c r="AD104" s="389">
        <f t="shared" si="24"/>
        <v>0.93294443860813392</v>
      </c>
      <c r="AE104" s="43"/>
      <c r="AF104" s="1027">
        <f t="shared" si="25"/>
        <v>0.93294443860813392</v>
      </c>
      <c r="AG104" s="392">
        <f t="shared" si="26"/>
        <v>0.93300000000000005</v>
      </c>
      <c r="AH104" s="392">
        <f>AG104+'TAR_Tab 14_Overige tarieven'!$AA$14+'TAR_Tab 14_Overige tarieven'!$AA$15</f>
        <v>1.113</v>
      </c>
      <c r="AI104" s="43"/>
    </row>
    <row r="105" spans="1:35">
      <c r="A105" s="96">
        <v>300236</v>
      </c>
      <c r="B105" s="1286" t="s">
        <v>763</v>
      </c>
      <c r="C105" s="1022"/>
      <c r="D105" s="1358"/>
      <c r="E105" s="1022"/>
      <c r="F105" s="1032">
        <v>0.97223015940953927</v>
      </c>
      <c r="G105" s="390">
        <f t="shared" si="17"/>
        <v>0.92517421969411762</v>
      </c>
      <c r="H105" s="390">
        <f t="shared" si="18"/>
        <v>0.9467964714881707</v>
      </c>
      <c r="I105" s="387"/>
      <c r="J105" s="388">
        <f t="shared" si="19"/>
        <v>0.89945664791376212</v>
      </c>
      <c r="K105" s="388">
        <f t="shared" si="20"/>
        <v>0.99413629506257928</v>
      </c>
      <c r="L105" s="1316">
        <v>0.95374514229223495</v>
      </c>
      <c r="M105" s="61" t="b">
        <f t="shared" si="16"/>
        <v>1</v>
      </c>
      <c r="N105" s="857">
        <f t="shared" si="21"/>
        <v>0.95374514229223495</v>
      </c>
      <c r="O105" s="15"/>
      <c r="P105" s="445">
        <f t="shared" si="27"/>
        <v>-4.423265759862248E-2</v>
      </c>
      <c r="Q105" s="445">
        <f t="shared" si="29"/>
        <v>4.5769014188336198E-2</v>
      </c>
      <c r="R105" s="445">
        <f t="shared" si="28"/>
        <v>0</v>
      </c>
      <c r="S105" s="445">
        <f t="shared" si="28"/>
        <v>1.7242332788511717E-3</v>
      </c>
      <c r="T105" s="445">
        <f t="shared" si="28"/>
        <v>3.9932915437295123E-2</v>
      </c>
      <c r="U105" s="445">
        <f t="shared" si="28"/>
        <v>-5.2260444191291602E-3</v>
      </c>
      <c r="V105" s="445">
        <f t="shared" si="28"/>
        <v>-1.9660969161994395E-4</v>
      </c>
      <c r="W105" s="445">
        <f t="shared" si="28"/>
        <v>-1.6256174586550945E-2</v>
      </c>
      <c r="X105" s="445">
        <f t="shared" si="28"/>
        <v>1.2826680204821781E-3</v>
      </c>
      <c r="Y105" s="43"/>
      <c r="Z105" s="388">
        <f t="shared" si="23"/>
        <v>0.9765424869212771</v>
      </c>
      <c r="AA105" s="43"/>
      <c r="AB105" s="462">
        <f>IF('TAR_Tab 2_Volumina'!C108="storage",1,0)</f>
        <v>0</v>
      </c>
      <c r="AC105" s="389">
        <f t="shared" si="22"/>
        <v>0.9765424869212771</v>
      </c>
      <c r="AD105" s="389">
        <f t="shared" si="24"/>
        <v>1.0422551313917157</v>
      </c>
      <c r="AE105" s="43"/>
      <c r="AF105" s="1027">
        <f t="shared" si="25"/>
        <v>1.0422551313917157</v>
      </c>
      <c r="AG105" s="392">
        <f t="shared" si="26"/>
        <v>1.042</v>
      </c>
      <c r="AH105" s="392">
        <f>AG105+'TAR_Tab 14_Overige tarieven'!$AA$14+'TAR_Tab 14_Overige tarieven'!$AA$15</f>
        <v>1.222</v>
      </c>
      <c r="AI105" s="43"/>
    </row>
    <row r="106" spans="1:35">
      <c r="A106" s="96">
        <v>300241</v>
      </c>
      <c r="B106" s="1286" t="s">
        <v>764</v>
      </c>
      <c r="C106" s="1022"/>
      <c r="D106" s="1358"/>
      <c r="E106" s="1022"/>
      <c r="F106" s="1032">
        <v>1.1845650946705493</v>
      </c>
      <c r="G106" s="390">
        <f t="shared" si="17"/>
        <v>1.1272321440884947</v>
      </c>
      <c r="H106" s="390">
        <f t="shared" si="18"/>
        <v>1.1535766927486271</v>
      </c>
      <c r="I106" s="387"/>
      <c r="J106" s="388">
        <f t="shared" si="19"/>
        <v>1.0958978581111956</v>
      </c>
      <c r="K106" s="388">
        <f t="shared" si="20"/>
        <v>1.2112555273860586</v>
      </c>
      <c r="L106" s="1316">
        <v>1.1624953622540133</v>
      </c>
      <c r="M106" s="61" t="b">
        <f t="shared" si="16"/>
        <v>1</v>
      </c>
      <c r="N106" s="857">
        <f t="shared" si="21"/>
        <v>1.1624953622540133</v>
      </c>
      <c r="O106" s="15"/>
      <c r="P106" s="445">
        <f t="shared" si="27"/>
        <v>-5.3914045837218851E-2</v>
      </c>
      <c r="Q106" s="445">
        <f t="shared" si="29"/>
        <v>5.5786671270485116E-2</v>
      </c>
      <c r="R106" s="445">
        <f t="shared" si="28"/>
        <v>0</v>
      </c>
      <c r="S106" s="445">
        <f t="shared" si="28"/>
        <v>2.1016234853800703E-3</v>
      </c>
      <c r="T106" s="445">
        <f t="shared" si="28"/>
        <v>4.8673200982777082E-2</v>
      </c>
      <c r="U106" s="445">
        <f t="shared" si="28"/>
        <v>-6.3698907923869803E-3</v>
      </c>
      <c r="V106" s="445">
        <f t="shared" si="28"/>
        <v>-2.3964248366503834E-4</v>
      </c>
      <c r="W106" s="445">
        <f t="shared" si="28"/>
        <v>-1.9814232048865957E-2</v>
      </c>
      <c r="X106" s="445">
        <f t="shared" si="28"/>
        <v>1.5634109774214549E-3</v>
      </c>
      <c r="Y106" s="43"/>
      <c r="Z106" s="388">
        <f t="shared" si="23"/>
        <v>1.1902824578079403</v>
      </c>
      <c r="AA106" s="43"/>
      <c r="AB106" s="462">
        <f>IF('TAR_Tab 2_Volumina'!C109="storage",1,0)</f>
        <v>0</v>
      </c>
      <c r="AC106" s="389">
        <f t="shared" si="22"/>
        <v>1.1902824578079403</v>
      </c>
      <c r="AD106" s="389">
        <f t="shared" si="24"/>
        <v>1.2703779057959994</v>
      </c>
      <c r="AE106" s="43"/>
      <c r="AF106" s="1027">
        <f t="shared" si="25"/>
        <v>1.2703779057959994</v>
      </c>
      <c r="AG106" s="392">
        <f t="shared" si="26"/>
        <v>1.27</v>
      </c>
      <c r="AH106" s="392">
        <f>AG106+'TAR_Tab 14_Overige tarieven'!$AA$14+'TAR_Tab 14_Overige tarieven'!$AA$15</f>
        <v>1.45</v>
      </c>
      <c r="AI106" s="43"/>
    </row>
    <row r="107" spans="1:35">
      <c r="A107" s="96">
        <v>300242</v>
      </c>
      <c r="B107" s="1286" t="s">
        <v>83</v>
      </c>
      <c r="C107" s="1022"/>
      <c r="D107" s="1358"/>
      <c r="E107" s="1022"/>
      <c r="F107" s="1032">
        <v>0.31967606599401921</v>
      </c>
      <c r="G107" s="390">
        <f t="shared" si="17"/>
        <v>0.30420374439990866</v>
      </c>
      <c r="H107" s="390">
        <f t="shared" si="18"/>
        <v>0.31131329178902989</v>
      </c>
      <c r="I107" s="387"/>
      <c r="J107" s="388">
        <f t="shared" si="19"/>
        <v>0.29574762719957837</v>
      </c>
      <c r="K107" s="388">
        <f t="shared" si="20"/>
        <v>0.32687895637848141</v>
      </c>
      <c r="L107" s="1316">
        <v>0.31372015418452842</v>
      </c>
      <c r="M107" s="61" t="b">
        <f t="shared" si="16"/>
        <v>1</v>
      </c>
      <c r="N107" s="857">
        <f t="shared" si="21"/>
        <v>0.31372015418452842</v>
      </c>
      <c r="O107" s="15"/>
      <c r="P107" s="445">
        <f t="shared" si="27"/>
        <v>-1.4549669032630705E-2</v>
      </c>
      <c r="Q107" s="445">
        <f t="shared" si="29"/>
        <v>1.5055030480710009E-2</v>
      </c>
      <c r="R107" s="445">
        <f t="shared" si="28"/>
        <v>0</v>
      </c>
      <c r="S107" s="445">
        <f t="shared" si="28"/>
        <v>5.6716066599429176E-4</v>
      </c>
      <c r="T107" s="445">
        <f t="shared" si="28"/>
        <v>1.3135333363708351E-2</v>
      </c>
      <c r="U107" s="445">
        <f t="shared" si="28"/>
        <v>-1.7190288980177412E-3</v>
      </c>
      <c r="V107" s="445">
        <f t="shared" si="28"/>
        <v>-6.4671808048152591E-5</v>
      </c>
      <c r="W107" s="445">
        <f t="shared" si="28"/>
        <v>-5.3472247161188988E-3</v>
      </c>
      <c r="X107" s="445">
        <f t="shared" si="28"/>
        <v>4.2191439967505972E-4</v>
      </c>
      <c r="Y107" s="43"/>
      <c r="Z107" s="388">
        <f t="shared" si="23"/>
        <v>0.32121899863980063</v>
      </c>
      <c r="AA107" s="43"/>
      <c r="AB107" s="462">
        <f>IF('TAR_Tab 2_Volumina'!C110="storage",1,0)</f>
        <v>0</v>
      </c>
      <c r="AC107" s="389">
        <f t="shared" si="22"/>
        <v>0.32121899863980063</v>
      </c>
      <c r="AD107" s="389">
        <f t="shared" si="24"/>
        <v>0.34283418705962526</v>
      </c>
      <c r="AE107" s="43"/>
      <c r="AF107" s="1027">
        <f t="shared" si="25"/>
        <v>0.34283418705962526</v>
      </c>
      <c r="AG107" s="392">
        <f t="shared" si="26"/>
        <v>0.34300000000000003</v>
      </c>
      <c r="AH107" s="392">
        <f>AG107+'TAR_Tab 14_Overige tarieven'!$AA$14+'TAR_Tab 14_Overige tarieven'!$AA$15</f>
        <v>0.52300000000000002</v>
      </c>
      <c r="AI107" s="43"/>
    </row>
    <row r="108" spans="1:35">
      <c r="A108" s="96">
        <v>300245</v>
      </c>
      <c r="B108" s="1286" t="s">
        <v>765</v>
      </c>
      <c r="C108" s="1022"/>
      <c r="D108" s="1358"/>
      <c r="E108" s="1022"/>
      <c r="F108" s="1032">
        <v>1.2645593053037754</v>
      </c>
      <c r="G108" s="390">
        <f t="shared" si="17"/>
        <v>1.2033546349270727</v>
      </c>
      <c r="H108" s="390">
        <f t="shared" si="18"/>
        <v>1.2314782427406763</v>
      </c>
      <c r="I108" s="387"/>
      <c r="J108" s="388">
        <f t="shared" si="19"/>
        <v>1.1699043306036425</v>
      </c>
      <c r="K108" s="388">
        <f t="shared" si="20"/>
        <v>1.2930521548777101</v>
      </c>
      <c r="L108" s="1316">
        <v>1.2409991939865863</v>
      </c>
      <c r="M108" s="61" t="b">
        <f t="shared" si="16"/>
        <v>1</v>
      </c>
      <c r="N108" s="857">
        <f t="shared" si="21"/>
        <v>1.2409991939865863</v>
      </c>
      <c r="O108" s="15"/>
      <c r="P108" s="445">
        <f t="shared" si="27"/>
        <v>-5.7554885465362186E-2</v>
      </c>
      <c r="Q108" s="445">
        <f t="shared" si="29"/>
        <v>5.9553970131658196E-2</v>
      </c>
      <c r="R108" s="445">
        <f t="shared" si="28"/>
        <v>0</v>
      </c>
      <c r="S108" s="445">
        <f t="shared" si="28"/>
        <v>2.2435470592871549E-3</v>
      </c>
      <c r="T108" s="445">
        <f t="shared" si="28"/>
        <v>5.196012401396137E-2</v>
      </c>
      <c r="U108" s="445">
        <f t="shared" si="28"/>
        <v>-6.8000523664949611E-3</v>
      </c>
      <c r="V108" s="445">
        <f t="shared" si="28"/>
        <v>-2.5582564776570105E-4</v>
      </c>
      <c r="W108" s="445">
        <f t="shared" si="28"/>
        <v>-2.1152296000930521E-2</v>
      </c>
      <c r="X108" s="445">
        <f t="shared" si="28"/>
        <v>1.6689888199535555E-3</v>
      </c>
      <c r="Y108" s="43"/>
      <c r="Z108" s="388">
        <f t="shared" si="23"/>
        <v>1.2706627645308932</v>
      </c>
      <c r="AA108" s="43"/>
      <c r="AB108" s="462">
        <f>IF('TAR_Tab 2_Volumina'!C111="storage",1,0)</f>
        <v>0</v>
      </c>
      <c r="AC108" s="389">
        <f t="shared" si="22"/>
        <v>1.2706627645308932</v>
      </c>
      <c r="AD108" s="389">
        <f t="shared" si="24"/>
        <v>1.356167093943828</v>
      </c>
      <c r="AE108" s="43"/>
      <c r="AF108" s="1027">
        <f t="shared" si="25"/>
        <v>1.356167093943828</v>
      </c>
      <c r="AG108" s="392">
        <f t="shared" si="26"/>
        <v>1.3560000000000001</v>
      </c>
      <c r="AH108" s="392">
        <f>AG108+'TAR_Tab 14_Overige tarieven'!$AA$14+'TAR_Tab 14_Overige tarieven'!$AA$15</f>
        <v>1.536</v>
      </c>
      <c r="AI108" s="43"/>
    </row>
    <row r="109" spans="1:35">
      <c r="A109" s="96">
        <v>300246</v>
      </c>
      <c r="B109" s="1286" t="s">
        <v>373</v>
      </c>
      <c r="C109" s="1022"/>
      <c r="D109" s="1358"/>
      <c r="E109" s="1022"/>
      <c r="F109" s="1032">
        <v>1.5333135200775083</v>
      </c>
      <c r="G109" s="390">
        <f t="shared" si="17"/>
        <v>1.459101145705757</v>
      </c>
      <c r="H109" s="390">
        <f t="shared" si="18"/>
        <v>1.4932018066341084</v>
      </c>
      <c r="I109" s="387"/>
      <c r="J109" s="388">
        <f t="shared" si="19"/>
        <v>1.418541716302403</v>
      </c>
      <c r="K109" s="388">
        <f t="shared" si="20"/>
        <v>1.5678618969658138</v>
      </c>
      <c r="L109" s="1316">
        <v>1.5047462262656146</v>
      </c>
      <c r="M109" s="61" t="b">
        <f t="shared" si="16"/>
        <v>1</v>
      </c>
      <c r="N109" s="857">
        <f t="shared" si="21"/>
        <v>1.5047462262656146</v>
      </c>
      <c r="O109" s="15"/>
      <c r="P109" s="445">
        <f t="shared" si="27"/>
        <v>-6.9786908103414549E-2</v>
      </c>
      <c r="Q109" s="445">
        <f t="shared" si="29"/>
        <v>7.2210854164113519E-2</v>
      </c>
      <c r="R109" s="445">
        <f t="shared" si="28"/>
        <v>0</v>
      </c>
      <c r="S109" s="445">
        <f t="shared" si="28"/>
        <v>2.7203635483974004E-3</v>
      </c>
      <c r="T109" s="445">
        <f t="shared" si="28"/>
        <v>6.3003103390530335E-2</v>
      </c>
      <c r="U109" s="445">
        <f t="shared" si="28"/>
        <v>-8.2452536524390795E-3</v>
      </c>
      <c r="V109" s="445">
        <f t="shared" si="28"/>
        <v>-3.1019575187697976E-4</v>
      </c>
      <c r="W109" s="445">
        <f t="shared" si="28"/>
        <v>-2.5647750408287116E-2</v>
      </c>
      <c r="X109" s="445">
        <f t="shared" si="28"/>
        <v>2.0236956161405525E-3</v>
      </c>
      <c r="Y109" s="43"/>
      <c r="Z109" s="388">
        <f t="shared" si="23"/>
        <v>1.5407141350687787</v>
      </c>
      <c r="AA109" s="43"/>
      <c r="AB109" s="462">
        <f>IF('TAR_Tab 2_Volumina'!C112="storage",1,0)</f>
        <v>0</v>
      </c>
      <c r="AC109" s="389">
        <f t="shared" si="22"/>
        <v>1.5407141350687787</v>
      </c>
      <c r="AD109" s="389">
        <f t="shared" si="24"/>
        <v>1.6443905255426279</v>
      </c>
      <c r="AE109" s="43"/>
      <c r="AF109" s="1027">
        <f t="shared" si="25"/>
        <v>1.6443905255426279</v>
      </c>
      <c r="AG109" s="392">
        <f t="shared" si="26"/>
        <v>1.6439999999999999</v>
      </c>
      <c r="AH109" s="392">
        <f>AG109+'TAR_Tab 14_Overige tarieven'!$AA$14+'TAR_Tab 14_Overige tarieven'!$AA$15</f>
        <v>1.8239999999999998</v>
      </c>
      <c r="AI109" s="43"/>
    </row>
    <row r="110" spans="1:35">
      <c r="A110" s="96">
        <v>300249</v>
      </c>
      <c r="B110" s="1286" t="s">
        <v>272</v>
      </c>
      <c r="C110" s="1022"/>
      <c r="D110" s="1358"/>
      <c r="E110" s="1022"/>
      <c r="F110" s="1032">
        <v>0.7909317513309948</v>
      </c>
      <c r="G110" s="390">
        <f t="shared" si="17"/>
        <v>0.75265065456657465</v>
      </c>
      <c r="H110" s="390">
        <f t="shared" si="18"/>
        <v>0.7702408571679592</v>
      </c>
      <c r="I110" s="387"/>
      <c r="J110" s="388">
        <f t="shared" si="19"/>
        <v>0.73172881430956116</v>
      </c>
      <c r="K110" s="388">
        <f t="shared" si="20"/>
        <v>0.80875290002635725</v>
      </c>
      <c r="L110" s="1316">
        <v>0.77619583501018519</v>
      </c>
      <c r="M110" s="61" t="b">
        <f t="shared" si="16"/>
        <v>1</v>
      </c>
      <c r="N110" s="857">
        <f t="shared" si="21"/>
        <v>0.77619583501018519</v>
      </c>
      <c r="O110" s="15"/>
      <c r="P110" s="445">
        <f t="shared" si="27"/>
        <v>-3.5998300884621887E-2</v>
      </c>
      <c r="Q110" s="445">
        <f t="shared" si="29"/>
        <v>3.7248649151833138E-2</v>
      </c>
      <c r="R110" s="445">
        <f t="shared" si="28"/>
        <v>0</v>
      </c>
      <c r="S110" s="445">
        <f t="shared" si="28"/>
        <v>1.4032498099163645E-3</v>
      </c>
      <c r="T110" s="445">
        <f t="shared" si="28"/>
        <v>3.2498999227138461E-2</v>
      </c>
      <c r="U110" s="445">
        <f t="shared" si="28"/>
        <v>-4.2531633785908747E-3</v>
      </c>
      <c r="V110" s="445">
        <f t="shared" si="28"/>
        <v>-1.6000880842366295E-4</v>
      </c>
      <c r="W110" s="445">
        <f t="shared" si="28"/>
        <v>-1.3229923223465306E-2</v>
      </c>
      <c r="X110" s="445">
        <f t="shared" si="28"/>
        <v>1.0438863917106749E-3</v>
      </c>
      <c r="Y110" s="43"/>
      <c r="Z110" s="388">
        <f t="shared" si="23"/>
        <v>0.79474922329568209</v>
      </c>
      <c r="AA110" s="43"/>
      <c r="AB110" s="462">
        <f>IF('TAR_Tab 2_Volumina'!C113="storage",1,0)</f>
        <v>0</v>
      </c>
      <c r="AC110" s="389">
        <f t="shared" si="22"/>
        <v>0.79474922329568209</v>
      </c>
      <c r="AD110" s="389">
        <f t="shared" si="24"/>
        <v>0.84822879418279751</v>
      </c>
      <c r="AE110" s="43"/>
      <c r="AF110" s="1027">
        <f t="shared" si="25"/>
        <v>0.84822879418279751</v>
      </c>
      <c r="AG110" s="392">
        <f t="shared" si="26"/>
        <v>0.84799999999999998</v>
      </c>
      <c r="AH110" s="392">
        <f>AG110+'TAR_Tab 14_Overige tarieven'!$AA$14+'TAR_Tab 14_Overige tarieven'!$AA$15</f>
        <v>1.028</v>
      </c>
      <c r="AI110" s="43"/>
    </row>
    <row r="111" spans="1:35">
      <c r="A111" s="96">
        <v>300250</v>
      </c>
      <c r="B111" s="1286" t="s">
        <v>650</v>
      </c>
      <c r="C111" s="1022"/>
      <c r="D111" s="1358"/>
      <c r="E111" s="1022"/>
      <c r="F111" s="1032">
        <v>0.80909163605565937</v>
      </c>
      <c r="G111" s="390">
        <f t="shared" si="17"/>
        <v>0.76993160087056545</v>
      </c>
      <c r="H111" s="390">
        <f t="shared" si="18"/>
        <v>0.78792567656338552</v>
      </c>
      <c r="I111" s="387"/>
      <c r="J111" s="388">
        <f t="shared" si="19"/>
        <v>0.74852939273521624</v>
      </c>
      <c r="K111" s="388">
        <f t="shared" si="20"/>
        <v>0.82732196039155481</v>
      </c>
      <c r="L111" s="1316">
        <v>0.79401738138739064</v>
      </c>
      <c r="M111" s="61" t="b">
        <f t="shared" si="16"/>
        <v>1</v>
      </c>
      <c r="N111" s="857">
        <f t="shared" si="21"/>
        <v>0.79401738138739064</v>
      </c>
      <c r="O111" s="15"/>
      <c r="P111" s="445">
        <f t="shared" si="27"/>
        <v>-3.6824826047189223E-2</v>
      </c>
      <c r="Q111" s="445">
        <f t="shared" si="29"/>
        <v>3.8103882455602332E-2</v>
      </c>
      <c r="R111" s="445">
        <f t="shared" si="28"/>
        <v>0</v>
      </c>
      <c r="S111" s="445">
        <f t="shared" si="28"/>
        <v>1.4354685882687387E-3</v>
      </c>
      <c r="T111" s="445">
        <f t="shared" si="28"/>
        <v>3.3245180017881321E-2</v>
      </c>
      <c r="U111" s="445">
        <f t="shared" si="28"/>
        <v>-4.3508165029475581E-3</v>
      </c>
      <c r="V111" s="445">
        <f t="shared" si="28"/>
        <v>-1.6368262921921808E-4</v>
      </c>
      <c r="W111" s="445">
        <f t="shared" si="28"/>
        <v>-1.3533683794778808E-2</v>
      </c>
      <c r="X111" s="445">
        <f t="shared" si="28"/>
        <v>1.0678541443103283E-3</v>
      </c>
      <c r="Y111" s="43"/>
      <c r="Z111" s="388">
        <f t="shared" si="23"/>
        <v>0.81299675761931856</v>
      </c>
      <c r="AA111" s="43"/>
      <c r="AB111" s="462">
        <f>IF('TAR_Tab 2_Volumina'!C114="storage",1,0)</f>
        <v>0</v>
      </c>
      <c r="AC111" s="389">
        <f t="shared" si="22"/>
        <v>0.81299675761931856</v>
      </c>
      <c r="AD111" s="389">
        <f t="shared" si="24"/>
        <v>0.86770422565533489</v>
      </c>
      <c r="AE111" s="43"/>
      <c r="AF111" s="1027">
        <f t="shared" si="25"/>
        <v>0.86770422565533489</v>
      </c>
      <c r="AG111" s="392">
        <f t="shared" si="26"/>
        <v>0.86799999999999999</v>
      </c>
      <c r="AH111" s="392">
        <f>AG111+'TAR_Tab 14_Overige tarieven'!$AA$14+'TAR_Tab 14_Overige tarieven'!$AA$15</f>
        <v>1.048</v>
      </c>
      <c r="AI111" s="43"/>
    </row>
    <row r="112" spans="1:35">
      <c r="A112" s="96">
        <v>300251</v>
      </c>
      <c r="B112" s="1286" t="s">
        <v>84</v>
      </c>
      <c r="C112" s="1022"/>
      <c r="D112" s="1358"/>
      <c r="E112" s="1022"/>
      <c r="F112" s="1032">
        <v>0.34322014281480018</v>
      </c>
      <c r="G112" s="390">
        <f t="shared" si="17"/>
        <v>0.32660828790256385</v>
      </c>
      <c r="H112" s="390">
        <f t="shared" si="18"/>
        <v>0.33424145200152533</v>
      </c>
      <c r="I112" s="387"/>
      <c r="J112" s="388">
        <f t="shared" si="19"/>
        <v>0.31752937940144904</v>
      </c>
      <c r="K112" s="388">
        <f t="shared" si="20"/>
        <v>0.35095352460160162</v>
      </c>
      <c r="L112" s="1316">
        <v>0.3368255793197526</v>
      </c>
      <c r="M112" s="61" t="b">
        <f t="shared" si="16"/>
        <v>1</v>
      </c>
      <c r="N112" s="857">
        <f t="shared" si="21"/>
        <v>0.3368255793197526</v>
      </c>
      <c r="O112" s="15"/>
      <c r="P112" s="445">
        <f t="shared" si="27"/>
        <v>-1.5621249178476232E-2</v>
      </c>
      <c r="Q112" s="445">
        <f t="shared" si="29"/>
        <v>1.6163830393755945E-2</v>
      </c>
      <c r="R112" s="445">
        <f t="shared" si="28"/>
        <v>0</v>
      </c>
      <c r="S112" s="445">
        <f t="shared" si="28"/>
        <v>6.0893193294345627E-4</v>
      </c>
      <c r="T112" s="445">
        <f t="shared" si="28"/>
        <v>1.4102747977061052E-2</v>
      </c>
      <c r="U112" s="445">
        <f t="shared" si="28"/>
        <v>-1.8456350244608431E-3</v>
      </c>
      <c r="V112" s="445">
        <f t="shared" si="28"/>
        <v>-6.9434873472177779E-5</v>
      </c>
      <c r="W112" s="445">
        <f t="shared" si="28"/>
        <v>-5.7410467218509068E-3</v>
      </c>
      <c r="X112" s="445">
        <f t="shared" si="28"/>
        <v>4.5298830884262669E-4</v>
      </c>
      <c r="Y112" s="43"/>
      <c r="Z112" s="388">
        <f t="shared" si="23"/>
        <v>0.34487671213409554</v>
      </c>
      <c r="AA112" s="43"/>
      <c r="AB112" s="462">
        <f>IF('TAR_Tab 2_Volumina'!C115="storage",1,0)</f>
        <v>0</v>
      </c>
      <c r="AC112" s="389">
        <f t="shared" si="22"/>
        <v>0.34487671213409554</v>
      </c>
      <c r="AD112" s="389">
        <f t="shared" si="24"/>
        <v>0.36808385475627681</v>
      </c>
      <c r="AE112" s="43"/>
      <c r="AF112" s="1027">
        <f t="shared" si="25"/>
        <v>0.36808385475627681</v>
      </c>
      <c r="AG112" s="392">
        <f t="shared" si="26"/>
        <v>0.36799999999999999</v>
      </c>
      <c r="AH112" s="392">
        <f>AG112+'TAR_Tab 14_Overige tarieven'!$AA$14+'TAR_Tab 14_Overige tarieven'!$AA$15</f>
        <v>0.54800000000000004</v>
      </c>
      <c r="AI112" s="43"/>
    </row>
    <row r="113" spans="1:35">
      <c r="A113" s="96">
        <v>300252</v>
      </c>
      <c r="B113" s="1286" t="s">
        <v>1199</v>
      </c>
      <c r="C113" s="1022"/>
      <c r="D113" s="1358"/>
      <c r="E113" s="1022"/>
      <c r="F113" s="1032">
        <v>1.5153789625692333</v>
      </c>
      <c r="G113" s="390">
        <f t="shared" si="17"/>
        <v>1.4420346207808825</v>
      </c>
      <c r="H113" s="390">
        <f t="shared" si="18"/>
        <v>1.475736419861033</v>
      </c>
      <c r="I113" s="387"/>
      <c r="J113" s="388">
        <f t="shared" si="19"/>
        <v>1.4019495988679813</v>
      </c>
      <c r="K113" s="388">
        <f t="shared" si="20"/>
        <v>1.5495232408540847</v>
      </c>
      <c r="L113" s="1316">
        <v>1.4871458090143821</v>
      </c>
      <c r="M113" s="61" t="b">
        <f t="shared" si="16"/>
        <v>1</v>
      </c>
      <c r="N113" s="857">
        <f t="shared" si="21"/>
        <v>1.4871458090143821</v>
      </c>
      <c r="O113" s="15"/>
      <c r="P113" s="445">
        <f t="shared" si="27"/>
        <v>-6.8970638436241641E-2</v>
      </c>
      <c r="Q113" s="445">
        <f t="shared" si="29"/>
        <v>7.1366232565353668E-2</v>
      </c>
      <c r="R113" s="445">
        <f t="shared" si="28"/>
        <v>0</v>
      </c>
      <c r="S113" s="445">
        <f t="shared" si="28"/>
        <v>2.6885445395232847E-3</v>
      </c>
      <c r="T113" s="445">
        <f t="shared" si="28"/>
        <v>6.2266181185018095E-2</v>
      </c>
      <c r="U113" s="445">
        <f t="shared" si="28"/>
        <v>-8.1488122046440414E-3</v>
      </c>
      <c r="V113" s="445">
        <f t="shared" si="28"/>
        <v>-3.0656751572174189E-4</v>
      </c>
      <c r="W113" s="445">
        <f t="shared" si="28"/>
        <v>-2.5347758887549691E-2</v>
      </c>
      <c r="X113" s="445">
        <f t="shared" si="28"/>
        <v>2.0000252545793488E-3</v>
      </c>
      <c r="Y113" s="43"/>
      <c r="Z113" s="388">
        <f t="shared" si="23"/>
        <v>1.5226930155146994</v>
      </c>
      <c r="AA113" s="43"/>
      <c r="AB113" s="462">
        <f>IF('TAR_Tab 2_Volumina'!C116="storage",1,0)</f>
        <v>0</v>
      </c>
      <c r="AC113" s="389">
        <f t="shared" si="22"/>
        <v>1.5226930155146994</v>
      </c>
      <c r="AD113" s="389">
        <f t="shared" si="24"/>
        <v>1.6251567445446518</v>
      </c>
      <c r="AE113" s="43"/>
      <c r="AF113" s="1027">
        <f t="shared" si="25"/>
        <v>1.6251567445446518</v>
      </c>
      <c r="AG113" s="392">
        <f t="shared" si="26"/>
        <v>1.625</v>
      </c>
      <c r="AH113" s="392">
        <f>AG113+'TAR_Tab 14_Overige tarieven'!$AA$14+'TAR_Tab 14_Overige tarieven'!$AA$15</f>
        <v>1.8049999999999999</v>
      </c>
      <c r="AI113" s="43"/>
    </row>
    <row r="114" spans="1:35">
      <c r="A114" s="96">
        <v>300262</v>
      </c>
      <c r="B114" s="1286" t="s">
        <v>374</v>
      </c>
      <c r="C114" s="1022"/>
      <c r="D114" s="1358"/>
      <c r="E114" s="1022"/>
      <c r="F114" s="1032">
        <v>0.34322014281480018</v>
      </c>
      <c r="G114" s="390">
        <f t="shared" si="17"/>
        <v>0.32660828790256385</v>
      </c>
      <c r="H114" s="390">
        <f t="shared" si="18"/>
        <v>0.33424145200152533</v>
      </c>
      <c r="I114" s="387"/>
      <c r="J114" s="388">
        <f t="shared" si="19"/>
        <v>0.31752937940144904</v>
      </c>
      <c r="K114" s="388">
        <f t="shared" si="20"/>
        <v>0.35095352460160162</v>
      </c>
      <c r="L114" s="1316">
        <v>0.3368255793197526</v>
      </c>
      <c r="M114" s="61" t="b">
        <f t="shared" si="16"/>
        <v>1</v>
      </c>
      <c r="N114" s="857">
        <f t="shared" si="21"/>
        <v>0.3368255793197526</v>
      </c>
      <c r="O114" s="15"/>
      <c r="P114" s="445">
        <f t="shared" si="27"/>
        <v>-1.5621249178476232E-2</v>
      </c>
      <c r="Q114" s="445">
        <f t="shared" si="29"/>
        <v>1.6163830393755945E-2</v>
      </c>
      <c r="R114" s="445">
        <f t="shared" si="28"/>
        <v>0</v>
      </c>
      <c r="S114" s="445">
        <f t="shared" si="28"/>
        <v>6.0893193294345627E-4</v>
      </c>
      <c r="T114" s="445">
        <f t="shared" si="28"/>
        <v>1.4102747977061052E-2</v>
      </c>
      <c r="U114" s="445">
        <f t="shared" si="28"/>
        <v>-1.8456350244608431E-3</v>
      </c>
      <c r="V114" s="445">
        <f t="shared" si="28"/>
        <v>-6.9434873472177779E-5</v>
      </c>
      <c r="W114" s="445">
        <f t="shared" si="28"/>
        <v>-5.7410467218509068E-3</v>
      </c>
      <c r="X114" s="445">
        <f t="shared" si="28"/>
        <v>4.5298830884262669E-4</v>
      </c>
      <c r="Y114" s="43"/>
      <c r="Z114" s="388">
        <f t="shared" si="23"/>
        <v>0.34487671213409554</v>
      </c>
      <c r="AA114" s="43"/>
      <c r="AB114" s="462">
        <f>IF('TAR_Tab 2_Volumina'!C117="storage",1,0)</f>
        <v>0</v>
      </c>
      <c r="AC114" s="389">
        <f t="shared" si="22"/>
        <v>0.34487671213409554</v>
      </c>
      <c r="AD114" s="389">
        <f t="shared" si="24"/>
        <v>0.36808385475627681</v>
      </c>
      <c r="AE114" s="43"/>
      <c r="AF114" s="1027">
        <f t="shared" si="25"/>
        <v>0.36808385475627681</v>
      </c>
      <c r="AG114" s="392">
        <f t="shared" si="26"/>
        <v>0.36799999999999999</v>
      </c>
      <c r="AH114" s="392">
        <f>AG114+'TAR_Tab 14_Overige tarieven'!$AA$14+'TAR_Tab 14_Overige tarieven'!$AA$15</f>
        <v>0.54800000000000004</v>
      </c>
      <c r="AI114" s="43"/>
    </row>
    <row r="115" spans="1:35">
      <c r="A115" s="96">
        <v>300263</v>
      </c>
      <c r="B115" s="1286" t="s">
        <v>273</v>
      </c>
      <c r="C115" s="1022"/>
      <c r="D115" s="1358"/>
      <c r="E115" s="1022"/>
      <c r="F115" s="1032">
        <v>1.3408842965042533</v>
      </c>
      <c r="G115" s="390">
        <f t="shared" si="17"/>
        <v>1.2759854965534474</v>
      </c>
      <c r="H115" s="390">
        <f t="shared" si="18"/>
        <v>1.3058065606349349</v>
      </c>
      <c r="I115" s="387"/>
      <c r="J115" s="388">
        <f t="shared" si="19"/>
        <v>1.2405162326031882</v>
      </c>
      <c r="K115" s="388">
        <f t="shared" si="20"/>
        <v>1.3710968886666817</v>
      </c>
      <c r="L115" s="1316">
        <v>1.3159021678238414</v>
      </c>
      <c r="M115" s="61" t="b">
        <f t="shared" si="16"/>
        <v>1</v>
      </c>
      <c r="N115" s="857">
        <f t="shared" si="21"/>
        <v>1.3159021678238414</v>
      </c>
      <c r="O115" s="15"/>
      <c r="P115" s="445">
        <f t="shared" si="27"/>
        <v>-6.1028725014257844E-2</v>
      </c>
      <c r="Q115" s="445">
        <f t="shared" si="29"/>
        <v>6.3148468410377051E-2</v>
      </c>
      <c r="R115" s="445">
        <f t="shared" si="28"/>
        <v>0</v>
      </c>
      <c r="S115" s="445">
        <f t="shared" si="28"/>
        <v>2.3789608029049876E-3</v>
      </c>
      <c r="T115" s="445">
        <f t="shared" si="28"/>
        <v>5.5096280611368752E-2</v>
      </c>
      <c r="U115" s="445">
        <f t="shared" si="28"/>
        <v>-7.2104830476490073E-3</v>
      </c>
      <c r="V115" s="445">
        <f t="shared" si="28"/>
        <v>-2.7126651339586861E-4</v>
      </c>
      <c r="W115" s="445">
        <f t="shared" si="28"/>
        <v>-2.2428984883270518E-2</v>
      </c>
      <c r="X115" s="445">
        <f t="shared" si="28"/>
        <v>1.7697239586397162E-3</v>
      </c>
      <c r="Y115" s="43"/>
      <c r="Z115" s="388">
        <f t="shared" si="23"/>
        <v>1.3473561421485587</v>
      </c>
      <c r="AA115" s="43"/>
      <c r="AB115" s="462">
        <f>IF('TAR_Tab 2_Volumina'!C118="storage",1,0)</f>
        <v>0</v>
      </c>
      <c r="AC115" s="389">
        <f t="shared" si="22"/>
        <v>1.3473561421485587</v>
      </c>
      <c r="AD115" s="389">
        <f t="shared" si="24"/>
        <v>1.4380212553718479</v>
      </c>
      <c r="AE115" s="43"/>
      <c r="AF115" s="1027">
        <f t="shared" si="25"/>
        <v>1.4380212553718479</v>
      </c>
      <c r="AG115" s="392">
        <f t="shared" si="26"/>
        <v>1.4379999999999999</v>
      </c>
      <c r="AH115" s="392">
        <f>AG115+'TAR_Tab 14_Overige tarieven'!$AA$14+'TAR_Tab 14_Overige tarieven'!$AA$15</f>
        <v>1.6179999999999999</v>
      </c>
      <c r="AI115" s="43"/>
    </row>
    <row r="116" spans="1:35">
      <c r="A116" s="96">
        <v>300264</v>
      </c>
      <c r="B116" s="1286" t="s">
        <v>85</v>
      </c>
      <c r="C116" s="1022"/>
      <c r="D116" s="1358"/>
      <c r="E116" s="1022"/>
      <c r="F116" s="1032">
        <v>0.97691570297140606</v>
      </c>
      <c r="G116" s="390">
        <f t="shared" si="17"/>
        <v>0.92963298294759</v>
      </c>
      <c r="H116" s="390">
        <f t="shared" si="18"/>
        <v>0.95135944052224575</v>
      </c>
      <c r="I116" s="387"/>
      <c r="J116" s="388">
        <f t="shared" si="19"/>
        <v>0.90379146849613345</v>
      </c>
      <c r="K116" s="388">
        <f t="shared" si="20"/>
        <v>0.99892741254835804</v>
      </c>
      <c r="L116" s="1316">
        <v>0.95871470392534919</v>
      </c>
      <c r="M116" s="61" t="b">
        <f t="shared" si="16"/>
        <v>1</v>
      </c>
      <c r="N116" s="857">
        <f t="shared" si="21"/>
        <v>0.95871470392534919</v>
      </c>
      <c r="O116" s="15"/>
      <c r="P116" s="445">
        <f t="shared" si="27"/>
        <v>-4.4463135226644239E-2</v>
      </c>
      <c r="Q116" s="445">
        <f t="shared" si="29"/>
        <v>4.6007497119268E-2</v>
      </c>
      <c r="R116" s="445">
        <f t="shared" si="28"/>
        <v>0</v>
      </c>
      <c r="S116" s="445">
        <f t="shared" si="28"/>
        <v>1.7332175275452447E-3</v>
      </c>
      <c r="T116" s="445">
        <f t="shared" si="28"/>
        <v>4.0140988931623628E-2</v>
      </c>
      <c r="U116" s="445">
        <f t="shared" si="28"/>
        <v>-5.2532751212178083E-3</v>
      </c>
      <c r="V116" s="445">
        <f t="shared" si="28"/>
        <v>-1.9763414137789984E-4</v>
      </c>
      <c r="W116" s="445">
        <f t="shared" si="28"/>
        <v>-1.6340878621144892E-2</v>
      </c>
      <c r="X116" s="445">
        <f t="shared" si="28"/>
        <v>1.2893514597994056E-3</v>
      </c>
      <c r="Y116" s="43"/>
      <c r="Z116" s="388">
        <f t="shared" si="23"/>
        <v>0.98163083585320066</v>
      </c>
      <c r="AA116" s="43"/>
      <c r="AB116" s="462">
        <f>IF('TAR_Tab 2_Volumina'!C119="storage",1,0)</f>
        <v>0</v>
      </c>
      <c r="AC116" s="389">
        <f t="shared" si="22"/>
        <v>0.98163083585320066</v>
      </c>
      <c r="AD116" s="389">
        <f t="shared" si="24"/>
        <v>1.0476858810576404</v>
      </c>
      <c r="AE116" s="43"/>
      <c r="AF116" s="1027">
        <f t="shared" si="25"/>
        <v>1.0476858810576404</v>
      </c>
      <c r="AG116" s="392">
        <f t="shared" si="26"/>
        <v>1.048</v>
      </c>
      <c r="AH116" s="392">
        <f>AG116+'TAR_Tab 14_Overige tarieven'!$AA$14+'TAR_Tab 14_Overige tarieven'!$AA$15</f>
        <v>1.228</v>
      </c>
      <c r="AI116" s="43"/>
    </row>
    <row r="117" spans="1:35">
      <c r="A117" s="96">
        <v>300265</v>
      </c>
      <c r="B117" s="1286" t="s">
        <v>86</v>
      </c>
      <c r="C117" s="1022"/>
      <c r="D117" s="1358"/>
      <c r="E117" s="1022"/>
      <c r="F117" s="1032">
        <v>0.91019147017848201</v>
      </c>
      <c r="G117" s="390">
        <f t="shared" si="17"/>
        <v>0.86613820302184352</v>
      </c>
      <c r="H117" s="390">
        <f t="shared" si="18"/>
        <v>0.88638072374445809</v>
      </c>
      <c r="I117" s="387"/>
      <c r="J117" s="388">
        <f t="shared" si="19"/>
        <v>0.84206168755723509</v>
      </c>
      <c r="K117" s="388">
        <f t="shared" si="20"/>
        <v>0.93069975993168108</v>
      </c>
      <c r="L117" s="1316">
        <v>0.89323361595415229</v>
      </c>
      <c r="M117" s="61" t="b">
        <f t="shared" ref="M117:M170" si="30">IF(L117&gt;0,AND(L117&gt;=J117,L117&lt;=K117),"")</f>
        <v>1</v>
      </c>
      <c r="N117" s="857">
        <f t="shared" si="21"/>
        <v>0.89323361595415229</v>
      </c>
      <c r="O117" s="15"/>
      <c r="P117" s="445">
        <f t="shared" si="27"/>
        <v>-4.1426262570649366E-2</v>
      </c>
      <c r="Q117" s="445">
        <f t="shared" si="29"/>
        <v>4.2865143138603533E-2</v>
      </c>
      <c r="R117" s="445">
        <f t="shared" si="28"/>
        <v>0</v>
      </c>
      <c r="S117" s="445">
        <f t="shared" si="28"/>
        <v>1.6148371909031484E-3</v>
      </c>
      <c r="T117" s="445">
        <f t="shared" si="28"/>
        <v>3.7399322806424447E-2</v>
      </c>
      <c r="U117" s="445">
        <f t="shared" si="28"/>
        <v>-4.8944716430392278E-3</v>
      </c>
      <c r="V117" s="445">
        <f t="shared" si="28"/>
        <v>-1.8413554941441838E-4</v>
      </c>
      <c r="W117" s="445">
        <f t="shared" si="28"/>
        <v>-1.5224781719598719E-2</v>
      </c>
      <c r="X117" s="445">
        <f t="shared" si="28"/>
        <v>1.2012875800870839E-3</v>
      </c>
      <c r="Y117" s="43"/>
      <c r="Z117" s="388">
        <f t="shared" si="23"/>
        <v>0.91458455518746873</v>
      </c>
      <c r="AA117" s="43"/>
      <c r="AB117" s="462">
        <f>IF('TAR_Tab 2_Volumina'!C120="storage",1,0)</f>
        <v>0</v>
      </c>
      <c r="AC117" s="389">
        <f t="shared" si="22"/>
        <v>0.91458455518746873</v>
      </c>
      <c r="AD117" s="389">
        <f t="shared" si="24"/>
        <v>0.97612798060735351</v>
      </c>
      <c r="AE117" s="43"/>
      <c r="AF117" s="1027">
        <f t="shared" si="25"/>
        <v>0.97612798060735351</v>
      </c>
      <c r="AG117" s="392">
        <f t="shared" si="26"/>
        <v>0.97599999999999998</v>
      </c>
      <c r="AH117" s="392">
        <f>AG117+'TAR_Tab 14_Overige tarieven'!$AA$14+'TAR_Tab 14_Overige tarieven'!$AA$15</f>
        <v>1.1559999999999999</v>
      </c>
      <c r="AI117" s="43"/>
    </row>
    <row r="118" spans="1:35">
      <c r="A118" s="96">
        <v>300269</v>
      </c>
      <c r="B118" s="1286" t="s">
        <v>87</v>
      </c>
      <c r="C118" s="1022"/>
      <c r="D118" s="1358"/>
      <c r="E118" s="1022"/>
      <c r="F118" s="1032">
        <v>1.546866522514601</v>
      </c>
      <c r="G118" s="390">
        <f t="shared" si="17"/>
        <v>1.4719981828248943</v>
      </c>
      <c r="H118" s="390">
        <f t="shared" si="18"/>
        <v>1.5064002604789295</v>
      </c>
      <c r="I118" s="387"/>
      <c r="J118" s="388">
        <f t="shared" si="19"/>
        <v>1.4310802474549829</v>
      </c>
      <c r="K118" s="388">
        <f t="shared" si="20"/>
        <v>1.5817202735028761</v>
      </c>
      <c r="L118" s="1316">
        <v>1.5180467215685927</v>
      </c>
      <c r="M118" s="61" t="b">
        <f t="shared" si="30"/>
        <v>1</v>
      </c>
      <c r="N118" s="857">
        <f t="shared" si="21"/>
        <v>1.5180467215685927</v>
      </c>
      <c r="O118" s="15"/>
      <c r="P118" s="445">
        <f t="shared" si="27"/>
        <v>-7.0403756597357856E-2</v>
      </c>
      <c r="Q118" s="445">
        <f t="shared" si="29"/>
        <v>7.2849127987213491E-2</v>
      </c>
      <c r="R118" s="445">
        <f t="shared" si="28"/>
        <v>0</v>
      </c>
      <c r="S118" s="445">
        <f t="shared" si="28"/>
        <v>2.744408920278908E-3</v>
      </c>
      <c r="T118" s="445">
        <f t="shared" si="28"/>
        <v>6.3559989638916833E-2</v>
      </c>
      <c r="U118" s="445">
        <f t="shared" si="28"/>
        <v>-8.3181336873325989E-3</v>
      </c>
      <c r="V118" s="445">
        <f t="shared" si="28"/>
        <v>-3.1293758107636747E-4</v>
      </c>
      <c r="W118" s="445">
        <f t="shared" si="28"/>
        <v>-2.5874451614033924E-2</v>
      </c>
      <c r="X118" s="445">
        <f t="shared" si="28"/>
        <v>2.0415831200713205E-3</v>
      </c>
      <c r="Y118" s="43"/>
      <c r="Z118" s="388">
        <f t="shared" si="23"/>
        <v>1.5543325517552724</v>
      </c>
      <c r="AA118" s="43"/>
      <c r="AB118" s="462">
        <f>IF('TAR_Tab 2_Volumina'!C121="storage",1,0)</f>
        <v>0</v>
      </c>
      <c r="AC118" s="389">
        <f t="shared" si="22"/>
        <v>1.5543325517552724</v>
      </c>
      <c r="AD118" s="389">
        <f t="shared" si="24"/>
        <v>1.658925340835383</v>
      </c>
      <c r="AE118" s="43"/>
      <c r="AF118" s="1027">
        <f t="shared" si="25"/>
        <v>1.658925340835383</v>
      </c>
      <c r="AG118" s="392">
        <f t="shared" si="26"/>
        <v>1.659</v>
      </c>
      <c r="AH118" s="392">
        <f>AG118+'TAR_Tab 14_Overige tarieven'!$AA$14+'TAR_Tab 14_Overige tarieven'!$AA$15</f>
        <v>1.839</v>
      </c>
      <c r="AI118" s="43"/>
    </row>
    <row r="119" spans="1:35">
      <c r="A119" s="96">
        <v>300274</v>
      </c>
      <c r="B119" s="1286" t="s">
        <v>766</v>
      </c>
      <c r="C119" s="1022"/>
      <c r="D119" s="1358"/>
      <c r="E119" s="1022"/>
      <c r="F119" s="1032">
        <v>0.42016625152844278</v>
      </c>
      <c r="G119" s="390">
        <f t="shared" si="17"/>
        <v>0.39983020495446614</v>
      </c>
      <c r="H119" s="390">
        <f t="shared" si="18"/>
        <v>0.40917463888092337</v>
      </c>
      <c r="I119" s="387"/>
      <c r="J119" s="388">
        <f t="shared" si="19"/>
        <v>0.38871590693687719</v>
      </c>
      <c r="K119" s="388">
        <f t="shared" si="20"/>
        <v>0.42963337082496955</v>
      </c>
      <c r="L119" s="1316">
        <v>0.41233809857727832</v>
      </c>
      <c r="M119" s="61" t="b">
        <f t="shared" si="30"/>
        <v>1</v>
      </c>
      <c r="N119" s="857">
        <f t="shared" si="21"/>
        <v>0.41233809857727832</v>
      </c>
      <c r="O119" s="15"/>
      <c r="P119" s="445">
        <f t="shared" si="27"/>
        <v>-1.912335813884259E-2</v>
      </c>
      <c r="Q119" s="445">
        <f t="shared" si="29"/>
        <v>1.9787579980556691E-2</v>
      </c>
      <c r="R119" s="445">
        <f t="shared" si="28"/>
        <v>0</v>
      </c>
      <c r="S119" s="445">
        <f t="shared" si="28"/>
        <v>7.4544764652370035E-4</v>
      </c>
      <c r="T119" s="445">
        <f t="shared" si="28"/>
        <v>1.7264425989617516E-2</v>
      </c>
      <c r="U119" s="445">
        <f t="shared" si="28"/>
        <v>-2.259405708410767E-3</v>
      </c>
      <c r="V119" s="445">
        <f t="shared" si="28"/>
        <v>-8.5001393778624733E-5</v>
      </c>
      <c r="W119" s="445">
        <f t="shared" si="28"/>
        <v>-7.0281250429738247E-3</v>
      </c>
      <c r="X119" s="445">
        <f t="shared" si="28"/>
        <v>5.5454320994008887E-4</v>
      </c>
      <c r="Y119" s="43"/>
      <c r="Z119" s="388">
        <f t="shared" si="23"/>
        <v>0.42219420511991052</v>
      </c>
      <c r="AA119" s="43"/>
      <c r="AB119" s="462">
        <f>IF('TAR_Tab 2_Volumina'!C122="storage",1,0)</f>
        <v>0</v>
      </c>
      <c r="AC119" s="389">
        <f t="shared" si="22"/>
        <v>0.42219420511991052</v>
      </c>
      <c r="AD119" s="389">
        <f t="shared" si="24"/>
        <v>0.45060412897892294</v>
      </c>
      <c r="AE119" s="43"/>
      <c r="AF119" s="1027">
        <f t="shared" si="25"/>
        <v>0.45060412897892294</v>
      </c>
      <c r="AG119" s="392">
        <f t="shared" si="26"/>
        <v>0.45100000000000001</v>
      </c>
      <c r="AH119" s="392">
        <f>AG119+'TAR_Tab 14_Overige tarieven'!$AA$14+'TAR_Tab 14_Overige tarieven'!$AA$15</f>
        <v>0.63100000000000001</v>
      </c>
      <c r="AI119" s="43"/>
    </row>
    <row r="120" spans="1:35">
      <c r="A120" s="96">
        <v>300276</v>
      </c>
      <c r="B120" s="1286" t="s">
        <v>88</v>
      </c>
      <c r="C120" s="1022"/>
      <c r="D120" s="1358"/>
      <c r="E120" s="1022"/>
      <c r="F120" s="1032">
        <v>1.209895599381168</v>
      </c>
      <c r="G120" s="390">
        <f t="shared" si="17"/>
        <v>1.1513366523711195</v>
      </c>
      <c r="H120" s="390">
        <f t="shared" si="18"/>
        <v>1.1782445476273462</v>
      </c>
      <c r="I120" s="387"/>
      <c r="J120" s="388">
        <f t="shared" si="19"/>
        <v>1.1193323202459788</v>
      </c>
      <c r="K120" s="388">
        <f t="shared" si="20"/>
        <v>1.2371567750087136</v>
      </c>
      <c r="L120" s="1316">
        <v>1.1873539321900433</v>
      </c>
      <c r="M120" s="61" t="b">
        <f t="shared" si="30"/>
        <v>1</v>
      </c>
      <c r="N120" s="857">
        <f t="shared" si="21"/>
        <v>1.1873539321900433</v>
      </c>
      <c r="O120" s="15"/>
      <c r="P120" s="445">
        <f t="shared" si="27"/>
        <v>-5.5066933085199096E-2</v>
      </c>
      <c r="Q120" s="445">
        <f t="shared" si="29"/>
        <v>5.6979602368796588E-2</v>
      </c>
      <c r="R120" s="445">
        <f t="shared" si="28"/>
        <v>0</v>
      </c>
      <c r="S120" s="445">
        <f t="shared" si="28"/>
        <v>2.14656418457497E-3</v>
      </c>
      <c r="T120" s="445">
        <f t="shared" si="28"/>
        <v>4.9714019045306625E-2</v>
      </c>
      <c r="U120" s="445">
        <f t="shared" si="28"/>
        <v>-6.5061032719278883E-3</v>
      </c>
      <c r="V120" s="445">
        <f t="shared" si="28"/>
        <v>-2.4476695093885234E-4</v>
      </c>
      <c r="W120" s="445">
        <f t="shared" si="28"/>
        <v>-2.0237935651571459E-2</v>
      </c>
      <c r="X120" s="445">
        <f t="shared" si="28"/>
        <v>1.59684264724389E-3</v>
      </c>
      <c r="Y120" s="43"/>
      <c r="Z120" s="388">
        <f t="shared" si="23"/>
        <v>1.215735221476328</v>
      </c>
      <c r="AA120" s="43"/>
      <c r="AB120" s="462">
        <f>IF('TAR_Tab 2_Volumina'!C123="storage",1,0)</f>
        <v>0</v>
      </c>
      <c r="AC120" s="389">
        <f t="shared" si="22"/>
        <v>1.215735221476328</v>
      </c>
      <c r="AD120" s="389">
        <f t="shared" si="24"/>
        <v>1.2975434146159104</v>
      </c>
      <c r="AE120" s="43"/>
      <c r="AF120" s="1027">
        <f t="shared" si="25"/>
        <v>1.2975434146159104</v>
      </c>
      <c r="AG120" s="392">
        <f t="shared" si="26"/>
        <v>1.298</v>
      </c>
      <c r="AH120" s="392">
        <f>AG120+'TAR_Tab 14_Overige tarieven'!$AA$14+'TAR_Tab 14_Overige tarieven'!$AA$15</f>
        <v>1.478</v>
      </c>
      <c r="AI120" s="43"/>
    </row>
    <row r="121" spans="1:35">
      <c r="A121" s="96">
        <v>300283</v>
      </c>
      <c r="B121" s="1286" t="s">
        <v>274</v>
      </c>
      <c r="C121" s="1022"/>
      <c r="D121" s="1358"/>
      <c r="E121" s="1022"/>
      <c r="F121" s="1032">
        <v>1.3518833474077181</v>
      </c>
      <c r="G121" s="390">
        <f t="shared" si="17"/>
        <v>1.2864521933931845</v>
      </c>
      <c r="H121" s="390">
        <f t="shared" si="18"/>
        <v>1.3165178747042741</v>
      </c>
      <c r="I121" s="387"/>
      <c r="J121" s="388">
        <f t="shared" si="19"/>
        <v>1.2506919809690602</v>
      </c>
      <c r="K121" s="388">
        <f t="shared" si="20"/>
        <v>1.3823437684394879</v>
      </c>
      <c r="L121" s="1316">
        <v>1.3266962944801142</v>
      </c>
      <c r="M121" s="61" t="b">
        <f t="shared" si="30"/>
        <v>1</v>
      </c>
      <c r="N121" s="857">
        <f t="shared" si="21"/>
        <v>1.3266962944801142</v>
      </c>
      <c r="O121" s="15"/>
      <c r="P121" s="445">
        <f t="shared" si="27"/>
        <v>-6.1529333496850552E-2</v>
      </c>
      <c r="Q121" s="445">
        <f t="shared" si="29"/>
        <v>6.3666464795547911E-2</v>
      </c>
      <c r="R121" s="445">
        <f t="shared" si="28"/>
        <v>0</v>
      </c>
      <c r="S121" s="445">
        <f t="shared" si="28"/>
        <v>2.3984750227647594E-3</v>
      </c>
      <c r="T121" s="445">
        <f t="shared" ref="R121:X157" si="31">$N121*T$5</f>
        <v>5.5548226239053346E-2</v>
      </c>
      <c r="U121" s="445">
        <f t="shared" si="31"/>
        <v>-7.2696294410301678E-3</v>
      </c>
      <c r="V121" s="445">
        <f t="shared" si="31"/>
        <v>-2.7349166749531266E-4</v>
      </c>
      <c r="W121" s="445">
        <f t="shared" si="31"/>
        <v>-2.2612966116466616E-2</v>
      </c>
      <c r="X121" s="445">
        <f t="shared" si="31"/>
        <v>1.7842407099782965E-3</v>
      </c>
      <c r="Y121" s="43"/>
      <c r="Z121" s="388">
        <f t="shared" si="23"/>
        <v>1.3584082805256159</v>
      </c>
      <c r="AA121" s="43"/>
      <c r="AB121" s="462">
        <f>IF('TAR_Tab 2_Volumina'!C124="storage",1,0)</f>
        <v>0</v>
      </c>
      <c r="AC121" s="389">
        <f t="shared" si="22"/>
        <v>1.3584082805256159</v>
      </c>
      <c r="AD121" s="389">
        <f t="shared" si="24"/>
        <v>1.4498171045956285</v>
      </c>
      <c r="AE121" s="43"/>
      <c r="AF121" s="1027">
        <f t="shared" si="25"/>
        <v>1.4498171045956285</v>
      </c>
      <c r="AG121" s="392">
        <f t="shared" si="26"/>
        <v>1.45</v>
      </c>
      <c r="AH121" s="392">
        <f>AG121+'TAR_Tab 14_Overige tarieven'!$AA$14+'TAR_Tab 14_Overige tarieven'!$AA$15</f>
        <v>1.63</v>
      </c>
      <c r="AI121" s="43"/>
    </row>
    <row r="122" spans="1:35">
      <c r="A122" s="96">
        <v>300285</v>
      </c>
      <c r="B122" s="1286" t="s">
        <v>89</v>
      </c>
      <c r="C122" s="1022"/>
      <c r="D122" s="1358"/>
      <c r="E122" s="1022"/>
      <c r="F122" s="1032">
        <v>0.80393062967145379</v>
      </c>
      <c r="G122" s="390">
        <f t="shared" si="17"/>
        <v>0.76502038719535548</v>
      </c>
      <c r="H122" s="390">
        <f t="shared" si="18"/>
        <v>0.78289968288626965</v>
      </c>
      <c r="I122" s="387"/>
      <c r="J122" s="388">
        <f t="shared" si="19"/>
        <v>0.7437546987419561</v>
      </c>
      <c r="K122" s="388">
        <f t="shared" si="20"/>
        <v>0.82204466703058321</v>
      </c>
      <c r="L122" s="1316">
        <v>0.78895253014941724</v>
      </c>
      <c r="M122" s="61" t="b">
        <f t="shared" si="30"/>
        <v>1</v>
      </c>
      <c r="N122" s="857">
        <f t="shared" si="21"/>
        <v>0.78895253014941724</v>
      </c>
      <c r="O122" s="15"/>
      <c r="P122" s="445">
        <f t="shared" si="27"/>
        <v>-3.658992909132238E-2</v>
      </c>
      <c r="Q122" s="445">
        <f t="shared" si="29"/>
        <v>3.7860826697944182E-2</v>
      </c>
      <c r="R122" s="445">
        <f t="shared" si="31"/>
        <v>0</v>
      </c>
      <c r="S122" s="445">
        <f t="shared" si="31"/>
        <v>1.4263120697506414E-3</v>
      </c>
      <c r="T122" s="445">
        <f t="shared" si="31"/>
        <v>3.3033116787129363E-2</v>
      </c>
      <c r="U122" s="445">
        <f t="shared" si="31"/>
        <v>-4.3230636616777042E-3</v>
      </c>
      <c r="V122" s="445">
        <f t="shared" si="31"/>
        <v>-1.6263853599573331E-4</v>
      </c>
      <c r="W122" s="445">
        <f t="shared" si="31"/>
        <v>-1.3447355589969796E-2</v>
      </c>
      <c r="X122" s="445">
        <f t="shared" si="31"/>
        <v>1.0610425523835435E-3</v>
      </c>
      <c r="Y122" s="43"/>
      <c r="Z122" s="388">
        <f t="shared" si="23"/>
        <v>0.80781084137765935</v>
      </c>
      <c r="AA122" s="43"/>
      <c r="AB122" s="462">
        <f>IF('TAR_Tab 2_Volumina'!C125="storage",1,0)</f>
        <v>0</v>
      </c>
      <c r="AC122" s="389">
        <f t="shared" si="22"/>
        <v>0.80781084137765935</v>
      </c>
      <c r="AD122" s="389">
        <f t="shared" si="24"/>
        <v>0.86216934326544792</v>
      </c>
      <c r="AE122" s="43"/>
      <c r="AF122" s="1027">
        <f t="shared" si="25"/>
        <v>0.86216934326544792</v>
      </c>
      <c r="AG122" s="392">
        <f t="shared" si="26"/>
        <v>0.86199999999999999</v>
      </c>
      <c r="AH122" s="392">
        <f>AG122+'TAR_Tab 14_Overige tarieven'!$AA$14+'TAR_Tab 14_Overige tarieven'!$AA$15</f>
        <v>1.042</v>
      </c>
      <c r="AI122" s="43"/>
    </row>
    <row r="123" spans="1:35">
      <c r="A123" s="96">
        <v>300288</v>
      </c>
      <c r="B123" s="1286" t="s">
        <v>90</v>
      </c>
      <c r="C123" s="1022"/>
      <c r="D123" s="1358"/>
      <c r="E123" s="1022"/>
      <c r="F123" s="1032">
        <v>0.82040760299350057</v>
      </c>
      <c r="G123" s="390">
        <f t="shared" si="17"/>
        <v>0.78069987500861515</v>
      </c>
      <c r="H123" s="390">
        <f t="shared" si="18"/>
        <v>0.79894561609574044</v>
      </c>
      <c r="I123" s="387"/>
      <c r="J123" s="388">
        <f t="shared" si="19"/>
        <v>0.7589983352909534</v>
      </c>
      <c r="K123" s="388">
        <f t="shared" si="20"/>
        <v>0.83889289690052748</v>
      </c>
      <c r="L123" s="1316">
        <v>0.80512251958861281</v>
      </c>
      <c r="M123" s="61" t="b">
        <f t="shared" si="30"/>
        <v>1</v>
      </c>
      <c r="N123" s="857">
        <f t="shared" si="21"/>
        <v>0.80512251958861281</v>
      </c>
      <c r="O123" s="15"/>
      <c r="P123" s="445">
        <f t="shared" si="27"/>
        <v>-3.7339858579317743E-2</v>
      </c>
      <c r="Q123" s="445">
        <f t="shared" si="29"/>
        <v>3.8636803888547816E-2</v>
      </c>
      <c r="R123" s="445">
        <f t="shared" si="31"/>
        <v>0</v>
      </c>
      <c r="S123" s="445">
        <f t="shared" si="31"/>
        <v>1.4555450720207489E-3</v>
      </c>
      <c r="T123" s="445">
        <f t="shared" si="31"/>
        <v>3.3710147570578955E-2</v>
      </c>
      <c r="U123" s="445">
        <f t="shared" si="31"/>
        <v>-4.4116670834083629E-3</v>
      </c>
      <c r="V123" s="445">
        <f t="shared" si="31"/>
        <v>-1.659718967607456E-4</v>
      </c>
      <c r="W123" s="445">
        <f t="shared" si="31"/>
        <v>-1.3722966085614874E-2</v>
      </c>
      <c r="X123" s="445">
        <f t="shared" si="31"/>
        <v>1.0827891673076755E-3</v>
      </c>
      <c r="Y123" s="43"/>
      <c r="Z123" s="388">
        <f t="shared" si="23"/>
        <v>0.82436734164196623</v>
      </c>
      <c r="AA123" s="43"/>
      <c r="AB123" s="462">
        <f>IF('TAR_Tab 2_Volumina'!C126="storage",1,0)</f>
        <v>0</v>
      </c>
      <c r="AC123" s="389">
        <f t="shared" si="22"/>
        <v>0.82436734164196623</v>
      </c>
      <c r="AD123" s="389">
        <f t="shared" si="24"/>
        <v>0.87983994909107366</v>
      </c>
      <c r="AE123" s="43"/>
      <c r="AF123" s="1027">
        <f t="shared" si="25"/>
        <v>0.87983994909107366</v>
      </c>
      <c r="AG123" s="392">
        <f t="shared" si="26"/>
        <v>0.88</v>
      </c>
      <c r="AH123" s="392">
        <f>AG123+'TAR_Tab 14_Overige tarieven'!$AA$14+'TAR_Tab 14_Overige tarieven'!$AA$15</f>
        <v>1.06</v>
      </c>
      <c r="AI123" s="43"/>
    </row>
    <row r="124" spans="1:35">
      <c r="A124" s="96">
        <v>300292</v>
      </c>
      <c r="B124" s="1286" t="s">
        <v>767</v>
      </c>
      <c r="C124" s="1022"/>
      <c r="D124" s="1358"/>
      <c r="E124" s="1022"/>
      <c r="F124" s="1032">
        <v>0.31967606599401921</v>
      </c>
      <c r="G124" s="390">
        <f t="shared" si="17"/>
        <v>0.30420374439990866</v>
      </c>
      <c r="H124" s="390">
        <f t="shared" si="18"/>
        <v>0.31131329178902989</v>
      </c>
      <c r="I124" s="387"/>
      <c r="J124" s="388">
        <f t="shared" si="19"/>
        <v>0.29574762719957837</v>
      </c>
      <c r="K124" s="388">
        <f t="shared" si="20"/>
        <v>0.32687895637848141</v>
      </c>
      <c r="L124" s="1316">
        <v>0.31372015418452842</v>
      </c>
      <c r="M124" s="61" t="b">
        <f t="shared" si="30"/>
        <v>1</v>
      </c>
      <c r="N124" s="857">
        <f t="shared" si="21"/>
        <v>0.31372015418452842</v>
      </c>
      <c r="O124" s="15"/>
      <c r="P124" s="445">
        <f t="shared" si="27"/>
        <v>-1.4549669032630705E-2</v>
      </c>
      <c r="Q124" s="445">
        <f t="shared" si="29"/>
        <v>1.5055030480710009E-2</v>
      </c>
      <c r="R124" s="445">
        <f t="shared" si="31"/>
        <v>0</v>
      </c>
      <c r="S124" s="445">
        <f t="shared" si="31"/>
        <v>5.6716066599429176E-4</v>
      </c>
      <c r="T124" s="445">
        <f t="shared" si="31"/>
        <v>1.3135333363708351E-2</v>
      </c>
      <c r="U124" s="445">
        <f t="shared" si="31"/>
        <v>-1.7190288980177412E-3</v>
      </c>
      <c r="V124" s="445">
        <f t="shared" si="31"/>
        <v>-6.4671808048152591E-5</v>
      </c>
      <c r="W124" s="445">
        <f t="shared" si="31"/>
        <v>-5.3472247161188988E-3</v>
      </c>
      <c r="X124" s="445">
        <f t="shared" si="31"/>
        <v>4.2191439967505972E-4</v>
      </c>
      <c r="Y124" s="43"/>
      <c r="Z124" s="388">
        <f t="shared" si="23"/>
        <v>0.32121899863980063</v>
      </c>
      <c r="AA124" s="43"/>
      <c r="AB124" s="462">
        <f>IF('TAR_Tab 2_Volumina'!C127="storage",1,0)</f>
        <v>0</v>
      </c>
      <c r="AC124" s="389">
        <f t="shared" si="22"/>
        <v>0.32121899863980063</v>
      </c>
      <c r="AD124" s="389">
        <f t="shared" si="24"/>
        <v>0.34283418705962526</v>
      </c>
      <c r="AE124" s="43"/>
      <c r="AF124" s="1027">
        <f t="shared" si="25"/>
        <v>0.34283418705962526</v>
      </c>
      <c r="AG124" s="392">
        <f t="shared" si="26"/>
        <v>0.34300000000000003</v>
      </c>
      <c r="AH124" s="392">
        <f>AG124+'TAR_Tab 14_Overige tarieven'!$AA$14+'TAR_Tab 14_Overige tarieven'!$AA$15</f>
        <v>0.52300000000000002</v>
      </c>
      <c r="AI124" s="43"/>
    </row>
    <row r="125" spans="1:35">
      <c r="A125" s="96">
        <v>300294</v>
      </c>
      <c r="B125" s="1286" t="s">
        <v>651</v>
      </c>
      <c r="C125" s="1022"/>
      <c r="D125" s="1358"/>
      <c r="E125" s="1022"/>
      <c r="F125" s="1032">
        <v>1.5153789625692333</v>
      </c>
      <c r="G125" s="390">
        <f t="shared" si="17"/>
        <v>1.4420346207808825</v>
      </c>
      <c r="H125" s="390">
        <f t="shared" si="18"/>
        <v>1.475736419861033</v>
      </c>
      <c r="I125" s="387"/>
      <c r="J125" s="388">
        <f t="shared" si="19"/>
        <v>1.4019495988679813</v>
      </c>
      <c r="K125" s="388">
        <f t="shared" si="20"/>
        <v>1.5495232408540847</v>
      </c>
      <c r="L125" s="1316">
        <v>1.4871458090143821</v>
      </c>
      <c r="M125" s="61" t="b">
        <f t="shared" si="30"/>
        <v>1</v>
      </c>
      <c r="N125" s="857">
        <f t="shared" si="21"/>
        <v>1.4871458090143821</v>
      </c>
      <c r="O125" s="15"/>
      <c r="P125" s="445">
        <f t="shared" si="27"/>
        <v>-6.8970638436241641E-2</v>
      </c>
      <c r="Q125" s="445">
        <f t="shared" si="29"/>
        <v>7.1366232565353668E-2</v>
      </c>
      <c r="R125" s="445">
        <f t="shared" si="31"/>
        <v>0</v>
      </c>
      <c r="S125" s="445">
        <f t="shared" si="31"/>
        <v>2.6885445395232847E-3</v>
      </c>
      <c r="T125" s="445">
        <f t="shared" si="31"/>
        <v>6.2266181185018095E-2</v>
      </c>
      <c r="U125" s="445">
        <f t="shared" si="31"/>
        <v>-8.1488122046440414E-3</v>
      </c>
      <c r="V125" s="445">
        <f t="shared" si="31"/>
        <v>-3.0656751572174189E-4</v>
      </c>
      <c r="W125" s="445">
        <f t="shared" si="31"/>
        <v>-2.5347758887549691E-2</v>
      </c>
      <c r="X125" s="445">
        <f t="shared" si="31"/>
        <v>2.0000252545793488E-3</v>
      </c>
      <c r="Y125" s="43"/>
      <c r="Z125" s="388">
        <f t="shared" si="23"/>
        <v>1.5226930155146994</v>
      </c>
      <c r="AA125" s="43"/>
      <c r="AB125" s="462">
        <f>IF('TAR_Tab 2_Volumina'!C128="storage",1,0)</f>
        <v>0</v>
      </c>
      <c r="AC125" s="389">
        <f t="shared" si="22"/>
        <v>1.5226930155146994</v>
      </c>
      <c r="AD125" s="389">
        <f t="shared" si="24"/>
        <v>1.6251567445446518</v>
      </c>
      <c r="AE125" s="43"/>
      <c r="AF125" s="1027">
        <f t="shared" si="25"/>
        <v>1.6251567445446518</v>
      </c>
      <c r="AG125" s="392">
        <f t="shared" si="26"/>
        <v>1.625</v>
      </c>
      <c r="AH125" s="392">
        <f>AG125+'TAR_Tab 14_Overige tarieven'!$AA$14+'TAR_Tab 14_Overige tarieven'!$AA$15</f>
        <v>1.8049999999999999</v>
      </c>
      <c r="AI125" s="43"/>
    </row>
    <row r="126" spans="1:35">
      <c r="A126" s="96">
        <v>300304</v>
      </c>
      <c r="B126" s="1286" t="s">
        <v>768</v>
      </c>
      <c r="C126" s="1022"/>
      <c r="D126" s="1358"/>
      <c r="E126" s="1022"/>
      <c r="F126" s="1032">
        <v>0.31967606599401921</v>
      </c>
      <c r="G126" s="390">
        <f t="shared" si="17"/>
        <v>0.30420374439990866</v>
      </c>
      <c r="H126" s="390">
        <f t="shared" si="18"/>
        <v>0.31131329178902989</v>
      </c>
      <c r="I126" s="387"/>
      <c r="J126" s="388">
        <f t="shared" si="19"/>
        <v>0.29574762719957837</v>
      </c>
      <c r="K126" s="388">
        <f t="shared" si="20"/>
        <v>0.32687895637848141</v>
      </c>
      <c r="L126" s="1316">
        <v>0.31752937940144904</v>
      </c>
      <c r="M126" s="61" t="b">
        <f t="shared" si="30"/>
        <v>1</v>
      </c>
      <c r="N126" s="857">
        <f t="shared" si="21"/>
        <v>0.31752937940144904</v>
      </c>
      <c r="O126" s="15"/>
      <c r="P126" s="445">
        <f t="shared" si="27"/>
        <v>-1.4726332742110926E-2</v>
      </c>
      <c r="Q126" s="445">
        <f t="shared" si="29"/>
        <v>1.5237830345441994E-2</v>
      </c>
      <c r="R126" s="445">
        <f t="shared" si="31"/>
        <v>0</v>
      </c>
      <c r="S126" s="445">
        <f t="shared" si="31"/>
        <v>5.7404719426521757E-4</v>
      </c>
      <c r="T126" s="445">
        <f t="shared" si="31"/>
        <v>1.3294824051234489E-2</v>
      </c>
      <c r="U126" s="445">
        <f t="shared" si="31"/>
        <v>-1.7399015392542136E-3</v>
      </c>
      <c r="V126" s="445">
        <f t="shared" si="31"/>
        <v>-6.545706037815104E-5</v>
      </c>
      <c r="W126" s="445">
        <f t="shared" si="31"/>
        <v>-5.4121513169683956E-3</v>
      </c>
      <c r="X126" s="445">
        <f t="shared" si="31"/>
        <v>4.2703733152749926E-4</v>
      </c>
      <c r="Y126" s="43"/>
      <c r="Z126" s="388">
        <f t="shared" si="23"/>
        <v>0.32511927566520654</v>
      </c>
      <c r="AA126" s="43"/>
      <c r="AB126" s="462">
        <f>IF('TAR_Tab 2_Volumina'!C129="storage",1,0)</f>
        <v>0</v>
      </c>
      <c r="AC126" s="389">
        <f t="shared" si="22"/>
        <v>0.32511927566520654</v>
      </c>
      <c r="AD126" s="389">
        <f t="shared" si="24"/>
        <v>0.34699691812153166</v>
      </c>
      <c r="AE126" s="43"/>
      <c r="AF126" s="1027">
        <f t="shared" si="25"/>
        <v>0.34699691812153166</v>
      </c>
      <c r="AG126" s="392">
        <f t="shared" si="26"/>
        <v>0.34699999999999998</v>
      </c>
      <c r="AH126" s="392">
        <f>AG126+'TAR_Tab 14_Overige tarieven'!$AA$14+'TAR_Tab 14_Overige tarieven'!$AA$15</f>
        <v>0.52699999999999991</v>
      </c>
      <c r="AI126" s="43"/>
    </row>
    <row r="127" spans="1:35">
      <c r="A127" s="96">
        <v>300306</v>
      </c>
      <c r="B127" s="1286" t="s">
        <v>769</v>
      </c>
      <c r="C127" s="1022"/>
      <c r="D127" s="1358"/>
      <c r="E127" s="1022"/>
      <c r="F127" s="1032">
        <v>0.34322014281480018</v>
      </c>
      <c r="G127" s="390">
        <f t="shared" si="17"/>
        <v>0.32660828790256385</v>
      </c>
      <c r="H127" s="390">
        <f t="shared" si="18"/>
        <v>0.33424145200152533</v>
      </c>
      <c r="I127" s="387"/>
      <c r="J127" s="388">
        <f t="shared" si="19"/>
        <v>0.31752937940144904</v>
      </c>
      <c r="K127" s="388">
        <f t="shared" si="20"/>
        <v>0.35095352460160162</v>
      </c>
      <c r="L127" s="1316">
        <v>0.3368255793197526</v>
      </c>
      <c r="M127" s="61" t="b">
        <f t="shared" si="30"/>
        <v>1</v>
      </c>
      <c r="N127" s="857">
        <f t="shared" si="21"/>
        <v>0.3368255793197526</v>
      </c>
      <c r="O127" s="15"/>
      <c r="P127" s="445">
        <f t="shared" si="27"/>
        <v>-1.5621249178476232E-2</v>
      </c>
      <c r="Q127" s="445">
        <f t="shared" si="29"/>
        <v>1.6163830393755945E-2</v>
      </c>
      <c r="R127" s="445">
        <f t="shared" si="31"/>
        <v>0</v>
      </c>
      <c r="S127" s="445">
        <f t="shared" si="31"/>
        <v>6.0893193294345627E-4</v>
      </c>
      <c r="T127" s="445">
        <f t="shared" si="31"/>
        <v>1.4102747977061052E-2</v>
      </c>
      <c r="U127" s="445">
        <f t="shared" si="31"/>
        <v>-1.8456350244608431E-3</v>
      </c>
      <c r="V127" s="445">
        <f t="shared" si="31"/>
        <v>-6.9434873472177779E-5</v>
      </c>
      <c r="W127" s="445">
        <f t="shared" si="31"/>
        <v>-5.7410467218509068E-3</v>
      </c>
      <c r="X127" s="445">
        <f t="shared" si="31"/>
        <v>4.5298830884262669E-4</v>
      </c>
      <c r="Y127" s="43"/>
      <c r="Z127" s="388">
        <f t="shared" si="23"/>
        <v>0.34487671213409554</v>
      </c>
      <c r="AA127" s="43"/>
      <c r="AB127" s="462">
        <f>IF('TAR_Tab 2_Volumina'!C130="storage",1,0)</f>
        <v>0</v>
      </c>
      <c r="AC127" s="389">
        <f t="shared" si="22"/>
        <v>0.34487671213409554</v>
      </c>
      <c r="AD127" s="389">
        <f t="shared" si="24"/>
        <v>0.36808385475627681</v>
      </c>
      <c r="AE127" s="43"/>
      <c r="AF127" s="1027">
        <f t="shared" si="25"/>
        <v>0.36808385475627681</v>
      </c>
      <c r="AG127" s="392">
        <f t="shared" si="26"/>
        <v>0.36799999999999999</v>
      </c>
      <c r="AH127" s="392">
        <f>AG127+'TAR_Tab 14_Overige tarieven'!$AA$14+'TAR_Tab 14_Overige tarieven'!$AA$15</f>
        <v>0.54800000000000004</v>
      </c>
      <c r="AI127" s="43"/>
    </row>
    <row r="128" spans="1:35">
      <c r="A128" s="96">
        <v>300308</v>
      </c>
      <c r="B128" s="1286" t="s">
        <v>91</v>
      </c>
      <c r="C128" s="1022"/>
      <c r="D128" s="1358"/>
      <c r="E128" s="1022"/>
      <c r="F128" s="1032">
        <v>1.3725358636385268</v>
      </c>
      <c r="G128" s="390">
        <f t="shared" si="17"/>
        <v>1.3061051278384221</v>
      </c>
      <c r="H128" s="390">
        <f t="shared" si="18"/>
        <v>1.3366301179888862</v>
      </c>
      <c r="I128" s="387"/>
      <c r="J128" s="388">
        <f t="shared" si="19"/>
        <v>1.2697986120894418</v>
      </c>
      <c r="K128" s="388">
        <f t="shared" si="20"/>
        <v>1.4034616238883306</v>
      </c>
      <c r="L128" s="1316">
        <v>1.3469640319351572</v>
      </c>
      <c r="M128" s="61" t="b">
        <f t="shared" si="30"/>
        <v>1</v>
      </c>
      <c r="N128" s="857">
        <f t="shared" si="21"/>
        <v>1.3469640319351572</v>
      </c>
      <c r="O128" s="15"/>
      <c r="P128" s="445">
        <f t="shared" si="27"/>
        <v>-6.2469307763972956E-2</v>
      </c>
      <c r="Q128" s="445">
        <f t="shared" si="29"/>
        <v>6.463908769238999E-2</v>
      </c>
      <c r="R128" s="445">
        <f t="shared" si="31"/>
        <v>0</v>
      </c>
      <c r="S128" s="445">
        <f t="shared" si="31"/>
        <v>2.4351161607977286E-3</v>
      </c>
      <c r="T128" s="445">
        <f t="shared" si="31"/>
        <v>5.6396828040528674E-2</v>
      </c>
      <c r="U128" s="445">
        <f t="shared" si="31"/>
        <v>-7.3806864640423471E-3</v>
      </c>
      <c r="V128" s="445">
        <f t="shared" si="31"/>
        <v>-2.7766975809223338E-4</v>
      </c>
      <c r="W128" s="445">
        <f t="shared" si="31"/>
        <v>-2.2958420959624921E-2</v>
      </c>
      <c r="X128" s="445">
        <f t="shared" si="31"/>
        <v>1.8114982838608033E-3</v>
      </c>
      <c r="Y128" s="43"/>
      <c r="Z128" s="388">
        <f t="shared" si="23"/>
        <v>1.3791604771670021</v>
      </c>
      <c r="AA128" s="43"/>
      <c r="AB128" s="462">
        <f>IF('TAR_Tab 2_Volumina'!C131="storage",1,0)</f>
        <v>0</v>
      </c>
      <c r="AC128" s="389">
        <f t="shared" si="22"/>
        <v>1.3791604771670021</v>
      </c>
      <c r="AD128" s="389">
        <f t="shared" si="24"/>
        <v>1.4719657399359343</v>
      </c>
      <c r="AE128" s="43"/>
      <c r="AF128" s="1027">
        <f t="shared" si="25"/>
        <v>1.4719657399359343</v>
      </c>
      <c r="AG128" s="392">
        <f t="shared" si="26"/>
        <v>1.472</v>
      </c>
      <c r="AH128" s="392">
        <f>AG128+'TAR_Tab 14_Overige tarieven'!$AA$14+'TAR_Tab 14_Overige tarieven'!$AA$15</f>
        <v>1.6519999999999999</v>
      </c>
      <c r="AI128" s="43"/>
    </row>
    <row r="129" spans="1:35">
      <c r="A129" s="96">
        <v>300309</v>
      </c>
      <c r="B129" s="1286" t="s">
        <v>92</v>
      </c>
      <c r="C129" s="1022"/>
      <c r="D129" s="1358"/>
      <c r="E129" s="1022"/>
      <c r="F129" s="1032">
        <v>0.75816978483537301</v>
      </c>
      <c r="G129" s="390">
        <f t="shared" si="17"/>
        <v>0.721474367249341</v>
      </c>
      <c r="H129" s="390">
        <f t="shared" si="18"/>
        <v>0.73833594866778784</v>
      </c>
      <c r="I129" s="387"/>
      <c r="J129" s="388">
        <f t="shared" si="19"/>
        <v>0.70141915123439846</v>
      </c>
      <c r="K129" s="388">
        <f t="shared" si="20"/>
        <v>0.77525274610117723</v>
      </c>
      <c r="L129" s="1316">
        <v>0.74404425948189057</v>
      </c>
      <c r="M129" s="61" t="b">
        <f t="shared" si="30"/>
        <v>1</v>
      </c>
      <c r="N129" s="857">
        <f t="shared" si="21"/>
        <v>0.74404425948189057</v>
      </c>
      <c r="O129" s="15"/>
      <c r="P129" s="445">
        <f t="shared" si="27"/>
        <v>-3.4507179652610881E-2</v>
      </c>
      <c r="Q129" s="445">
        <f t="shared" si="29"/>
        <v>3.5705736007347638E-2</v>
      </c>
      <c r="R129" s="445">
        <f t="shared" si="31"/>
        <v>0</v>
      </c>
      <c r="S129" s="445">
        <f t="shared" si="31"/>
        <v>1.3451244113846922E-3</v>
      </c>
      <c r="T129" s="445">
        <f t="shared" si="31"/>
        <v>3.1152826030741935E-2</v>
      </c>
      <c r="U129" s="445">
        <f t="shared" si="31"/>
        <v>-4.0769888908739355E-3</v>
      </c>
      <c r="V129" s="445">
        <f t="shared" si="31"/>
        <v>-1.5338092528234423E-4</v>
      </c>
      <c r="W129" s="445">
        <f t="shared" si="31"/>
        <v>-1.2681913486016506E-2</v>
      </c>
      <c r="X129" s="445">
        <f t="shared" si="31"/>
        <v>1.0006465408222659E-3</v>
      </c>
      <c r="Y129" s="43"/>
      <c r="Z129" s="388">
        <f t="shared" si="23"/>
        <v>0.76182912951740345</v>
      </c>
      <c r="AA129" s="43"/>
      <c r="AB129" s="462">
        <f>IF('TAR_Tab 2_Volumina'!C132="storage",1,0)</f>
        <v>0</v>
      </c>
      <c r="AC129" s="389">
        <f t="shared" si="22"/>
        <v>0.76182912951740345</v>
      </c>
      <c r="AD129" s="389">
        <f t="shared" si="24"/>
        <v>0.81309347019450962</v>
      </c>
      <c r="AE129" s="43"/>
      <c r="AF129" s="1027">
        <f t="shared" si="25"/>
        <v>0.81309347019450962</v>
      </c>
      <c r="AG129" s="392">
        <f t="shared" si="26"/>
        <v>0.81299999999999994</v>
      </c>
      <c r="AH129" s="392">
        <f>AG129+'TAR_Tab 14_Overige tarieven'!$AA$14+'TAR_Tab 14_Overige tarieven'!$AA$15</f>
        <v>0.99299999999999999</v>
      </c>
      <c r="AI129" s="43"/>
    </row>
    <row r="130" spans="1:35">
      <c r="A130" s="96">
        <v>300311</v>
      </c>
      <c r="B130" s="1286" t="s">
        <v>93</v>
      </c>
      <c r="C130" s="1022"/>
      <c r="D130" s="1358"/>
      <c r="E130" s="1022"/>
      <c r="F130" s="1032">
        <v>0.91019147017848201</v>
      </c>
      <c r="G130" s="390">
        <f t="shared" si="17"/>
        <v>0.86613820302184352</v>
      </c>
      <c r="H130" s="390">
        <f t="shared" si="18"/>
        <v>0.88638072374445809</v>
      </c>
      <c r="I130" s="387"/>
      <c r="J130" s="388">
        <f t="shared" si="19"/>
        <v>0.84206168755723509</v>
      </c>
      <c r="K130" s="388">
        <f t="shared" si="20"/>
        <v>0.93069975993168108</v>
      </c>
      <c r="L130" s="1316">
        <v>0.89323361595415229</v>
      </c>
      <c r="M130" s="61" t="b">
        <f t="shared" si="30"/>
        <v>1</v>
      </c>
      <c r="N130" s="857">
        <f t="shared" si="21"/>
        <v>0.89323361595415229</v>
      </c>
      <c r="O130" s="15"/>
      <c r="P130" s="445">
        <f t="shared" si="27"/>
        <v>-4.1426262570649366E-2</v>
      </c>
      <c r="Q130" s="445">
        <f t="shared" si="29"/>
        <v>4.2865143138603533E-2</v>
      </c>
      <c r="R130" s="445">
        <f t="shared" si="31"/>
        <v>0</v>
      </c>
      <c r="S130" s="445">
        <f t="shared" si="31"/>
        <v>1.6148371909031484E-3</v>
      </c>
      <c r="T130" s="445">
        <f t="shared" si="31"/>
        <v>3.7399322806424447E-2</v>
      </c>
      <c r="U130" s="445">
        <f t="shared" si="31"/>
        <v>-4.8944716430392278E-3</v>
      </c>
      <c r="V130" s="445">
        <f t="shared" si="31"/>
        <v>-1.8413554941441838E-4</v>
      </c>
      <c r="W130" s="445">
        <f t="shared" si="31"/>
        <v>-1.5224781719598719E-2</v>
      </c>
      <c r="X130" s="445">
        <f t="shared" si="31"/>
        <v>1.2012875800870839E-3</v>
      </c>
      <c r="Y130" s="43"/>
      <c r="Z130" s="388">
        <f t="shared" si="23"/>
        <v>0.91458455518746873</v>
      </c>
      <c r="AA130" s="43"/>
      <c r="AB130" s="462">
        <f>IF('TAR_Tab 2_Volumina'!C133="storage",1,0)</f>
        <v>0</v>
      </c>
      <c r="AC130" s="389">
        <f t="shared" si="22"/>
        <v>0.91458455518746873</v>
      </c>
      <c r="AD130" s="389">
        <f t="shared" si="24"/>
        <v>0.97612798060735351</v>
      </c>
      <c r="AE130" s="43"/>
      <c r="AF130" s="1027">
        <f t="shared" si="25"/>
        <v>0.97612798060735351</v>
      </c>
      <c r="AG130" s="392">
        <f t="shared" si="26"/>
        <v>0.97599999999999998</v>
      </c>
      <c r="AH130" s="392">
        <f>AG130+'TAR_Tab 14_Overige tarieven'!$AA$14+'TAR_Tab 14_Overige tarieven'!$AA$15</f>
        <v>1.1559999999999999</v>
      </c>
      <c r="AI130" s="43"/>
    </row>
    <row r="131" spans="1:35">
      <c r="A131" s="96">
        <v>300314</v>
      </c>
      <c r="B131" s="1286" t="s">
        <v>94</v>
      </c>
      <c r="C131" s="1022"/>
      <c r="D131" s="1358"/>
      <c r="E131" s="1022"/>
      <c r="F131" s="1032">
        <v>1.4417270895819332</v>
      </c>
      <c r="G131" s="390">
        <f t="shared" si="17"/>
        <v>1.3719474984461677</v>
      </c>
      <c r="H131" s="390">
        <f t="shared" si="18"/>
        <v>1.404011291003457</v>
      </c>
      <c r="I131" s="387"/>
      <c r="J131" s="388">
        <f t="shared" si="19"/>
        <v>1.3338107264532841</v>
      </c>
      <c r="K131" s="388">
        <f t="shared" si="20"/>
        <v>1.4742118555536299</v>
      </c>
      <c r="L131" s="1316">
        <v>1.4148661502989015</v>
      </c>
      <c r="M131" s="61" t="b">
        <f t="shared" si="30"/>
        <v>1</v>
      </c>
      <c r="N131" s="857">
        <f t="shared" si="21"/>
        <v>1.4148661502989015</v>
      </c>
      <c r="O131" s="15"/>
      <c r="P131" s="445">
        <f t="shared" si="27"/>
        <v>-6.5618462625811655E-2</v>
      </c>
      <c r="Q131" s="445">
        <f t="shared" si="29"/>
        <v>6.7897623836898124E-2</v>
      </c>
      <c r="R131" s="445">
        <f t="shared" si="31"/>
        <v>0</v>
      </c>
      <c r="S131" s="445">
        <f t="shared" si="31"/>
        <v>2.5578733702403588E-3</v>
      </c>
      <c r="T131" s="445">
        <f t="shared" si="31"/>
        <v>5.923986170895261E-2</v>
      </c>
      <c r="U131" s="445">
        <f t="shared" si="31"/>
        <v>-7.7527559729564603E-3</v>
      </c>
      <c r="V131" s="445">
        <f t="shared" si="31"/>
        <v>-2.9166743311026885E-4</v>
      </c>
      <c r="W131" s="445">
        <f t="shared" si="31"/>
        <v>-2.4115783279987285E-2</v>
      </c>
      <c r="X131" s="445">
        <f t="shared" si="31"/>
        <v>1.9028181468787621E-3</v>
      </c>
      <c r="Y131" s="43"/>
      <c r="Z131" s="388">
        <f t="shared" si="23"/>
        <v>1.4486856580500056</v>
      </c>
      <c r="AA131" s="43"/>
      <c r="AB131" s="462">
        <f>IF('TAR_Tab 2_Volumina'!C134="storage",1,0)</f>
        <v>0</v>
      </c>
      <c r="AC131" s="389">
        <f t="shared" si="22"/>
        <v>1.4486856580500056</v>
      </c>
      <c r="AD131" s="389">
        <f t="shared" si="24"/>
        <v>1.5461693485927375</v>
      </c>
      <c r="AE131" s="43"/>
      <c r="AF131" s="1027">
        <f t="shared" si="25"/>
        <v>1.5461693485927375</v>
      </c>
      <c r="AG131" s="392">
        <f t="shared" si="26"/>
        <v>1.546</v>
      </c>
      <c r="AH131" s="392">
        <f>AG131+'TAR_Tab 14_Overige tarieven'!$AA$14+'TAR_Tab 14_Overige tarieven'!$AA$15</f>
        <v>1.726</v>
      </c>
      <c r="AI131" s="43"/>
    </row>
    <row r="132" spans="1:35">
      <c r="A132" s="96">
        <v>300319</v>
      </c>
      <c r="B132" s="1286" t="s">
        <v>275</v>
      </c>
      <c r="C132" s="1022"/>
      <c r="D132" s="1358"/>
      <c r="E132" s="1022"/>
      <c r="F132" s="1032">
        <v>0.71593822244373251</v>
      </c>
      <c r="G132" s="390">
        <f t="shared" si="17"/>
        <v>0.68128681247745582</v>
      </c>
      <c r="H132" s="390">
        <f t="shared" si="18"/>
        <v>0.6972091703315535</v>
      </c>
      <c r="I132" s="387"/>
      <c r="J132" s="388">
        <f t="shared" si="19"/>
        <v>0.66234871181497579</v>
      </c>
      <c r="K132" s="388">
        <f t="shared" si="20"/>
        <v>0.7320696288481312</v>
      </c>
      <c r="L132" s="1316">
        <v>0.70259951689923217</v>
      </c>
      <c r="M132" s="61" t="b">
        <f t="shared" si="30"/>
        <v>1</v>
      </c>
      <c r="N132" s="857">
        <f t="shared" si="21"/>
        <v>0.70259951689923217</v>
      </c>
      <c r="O132" s="15"/>
      <c r="P132" s="445">
        <f t="shared" si="27"/>
        <v>-3.2585061230580623E-2</v>
      </c>
      <c r="Q132" s="445">
        <f t="shared" si="29"/>
        <v>3.3716855616577154E-2</v>
      </c>
      <c r="R132" s="445">
        <f t="shared" si="31"/>
        <v>0</v>
      </c>
      <c r="S132" s="445">
        <f t="shared" si="31"/>
        <v>1.2701983108724614E-3</v>
      </c>
      <c r="T132" s="445">
        <f t="shared" si="31"/>
        <v>2.9417551765652514E-2</v>
      </c>
      <c r="U132" s="445">
        <f t="shared" si="31"/>
        <v>-3.849892514628403E-3</v>
      </c>
      <c r="V132" s="445">
        <f t="shared" si="31"/>
        <v>-1.4483730320018039E-4</v>
      </c>
      <c r="W132" s="445">
        <f t="shared" si="31"/>
        <v>-1.1975505724400962E-2</v>
      </c>
      <c r="X132" s="445">
        <f t="shared" si="31"/>
        <v>9.4490854167489683E-4</v>
      </c>
      <c r="Y132" s="43"/>
      <c r="Z132" s="388">
        <f t="shared" si="23"/>
        <v>0.71939373436119902</v>
      </c>
      <c r="AA132" s="43"/>
      <c r="AB132" s="462">
        <f>IF('TAR_Tab 2_Volumina'!C135="storage",1,0)</f>
        <v>0</v>
      </c>
      <c r="AC132" s="389">
        <f t="shared" si="22"/>
        <v>0.71939373436119902</v>
      </c>
      <c r="AD132" s="389">
        <f t="shared" si="24"/>
        <v>0.76780254947519988</v>
      </c>
      <c r="AE132" s="43"/>
      <c r="AF132" s="1027">
        <f t="shared" si="25"/>
        <v>0.76780254947519988</v>
      </c>
      <c r="AG132" s="392">
        <f t="shared" si="26"/>
        <v>0.76800000000000002</v>
      </c>
      <c r="AH132" s="392">
        <f>AG132+'TAR_Tab 14_Overige tarieven'!$AA$14+'TAR_Tab 14_Overige tarieven'!$AA$15</f>
        <v>0.94800000000000006</v>
      </c>
      <c r="AI132" s="43"/>
    </row>
    <row r="133" spans="1:35">
      <c r="A133" s="96">
        <v>300321</v>
      </c>
      <c r="B133" s="1286" t="s">
        <v>95</v>
      </c>
      <c r="C133" s="1022"/>
      <c r="D133" s="1358"/>
      <c r="E133" s="1022"/>
      <c r="F133" s="1032">
        <v>1.7078526311925906</v>
      </c>
      <c r="G133" s="390">
        <f t="shared" si="17"/>
        <v>1.6251925638428693</v>
      </c>
      <c r="H133" s="390">
        <f t="shared" si="18"/>
        <v>1.66317494822108</v>
      </c>
      <c r="I133" s="387"/>
      <c r="J133" s="388">
        <f t="shared" si="19"/>
        <v>1.580016200810026</v>
      </c>
      <c r="K133" s="388">
        <f t="shared" si="20"/>
        <v>1.746333695632134</v>
      </c>
      <c r="L133" s="1316">
        <v>1.6760334844467715</v>
      </c>
      <c r="M133" s="61" t="b">
        <f t="shared" si="30"/>
        <v>1</v>
      </c>
      <c r="N133" s="857">
        <f t="shared" si="21"/>
        <v>1.6760334844467715</v>
      </c>
      <c r="O133" s="15"/>
      <c r="P133" s="445">
        <f t="shared" si="27"/>
        <v>-7.7730844388033085E-2</v>
      </c>
      <c r="Q133" s="445">
        <f t="shared" si="29"/>
        <v>8.0430711442896319E-2</v>
      </c>
      <c r="R133" s="445">
        <f t="shared" si="31"/>
        <v>0</v>
      </c>
      <c r="S133" s="445">
        <f t="shared" si="31"/>
        <v>3.0300261382264857E-3</v>
      </c>
      <c r="T133" s="445">
        <f t="shared" si="31"/>
        <v>7.0174830189573309E-2</v>
      </c>
      <c r="U133" s="445">
        <f t="shared" si="31"/>
        <v>-9.1838218086387029E-3</v>
      </c>
      <c r="V133" s="445">
        <f t="shared" si="31"/>
        <v>-3.4550574562277665E-4</v>
      </c>
      <c r="W133" s="445">
        <f t="shared" si="31"/>
        <v>-2.8567267845358714E-2</v>
      </c>
      <c r="X133" s="445">
        <f t="shared" si="31"/>
        <v>2.2540555714814572E-3</v>
      </c>
      <c r="Y133" s="43"/>
      <c r="Z133" s="388">
        <f t="shared" si="23"/>
        <v>1.7160956680012958</v>
      </c>
      <c r="AA133" s="43"/>
      <c r="AB133" s="462">
        <f>IF('TAR_Tab 2_Volumina'!C136="storage",1,0)</f>
        <v>0</v>
      </c>
      <c r="AC133" s="389">
        <f t="shared" si="22"/>
        <v>1.7160956680012958</v>
      </c>
      <c r="AD133" s="389">
        <f t="shared" si="24"/>
        <v>1.8315736794743591</v>
      </c>
      <c r="AE133" s="43"/>
      <c r="AF133" s="1027">
        <f t="shared" si="25"/>
        <v>1.8315736794743591</v>
      </c>
      <c r="AG133" s="392">
        <f t="shared" si="26"/>
        <v>1.8320000000000001</v>
      </c>
      <c r="AH133" s="392">
        <f>AG133+'TAR_Tab 14_Overige tarieven'!$AA$14+'TAR_Tab 14_Overige tarieven'!$AA$15</f>
        <v>2.012</v>
      </c>
      <c r="AI133" s="43"/>
    </row>
    <row r="134" spans="1:35">
      <c r="A134" s="96">
        <v>300322</v>
      </c>
      <c r="B134" s="1286" t="s">
        <v>276</v>
      </c>
      <c r="C134" s="1022"/>
      <c r="D134" s="1358"/>
      <c r="E134" s="1022"/>
      <c r="F134" s="1032">
        <v>0.86992493509224478</v>
      </c>
      <c r="G134" s="390">
        <f t="shared" si="17"/>
        <v>0.82782056823378014</v>
      </c>
      <c r="H134" s="390">
        <f t="shared" si="18"/>
        <v>0.84716756730230669</v>
      </c>
      <c r="I134" s="387"/>
      <c r="J134" s="388">
        <f t="shared" si="19"/>
        <v>0.80480918893719133</v>
      </c>
      <c r="K134" s="388">
        <f t="shared" si="20"/>
        <v>0.88952594566742205</v>
      </c>
      <c r="L134" s="1316">
        <v>0.85371729008705588</v>
      </c>
      <c r="M134" s="61" t="b">
        <f t="shared" si="30"/>
        <v>1</v>
      </c>
      <c r="N134" s="857">
        <f t="shared" si="21"/>
        <v>0.85371729008705588</v>
      </c>
      <c r="O134" s="15"/>
      <c r="P134" s="445">
        <f t="shared" si="27"/>
        <v>-3.9593579986878687E-2</v>
      </c>
      <c r="Q134" s="445">
        <f t="shared" si="29"/>
        <v>4.0968805008969447E-2</v>
      </c>
      <c r="R134" s="445">
        <f t="shared" si="31"/>
        <v>0</v>
      </c>
      <c r="S134" s="445">
        <f t="shared" si="31"/>
        <v>1.5433973889092758E-3</v>
      </c>
      <c r="T134" s="445">
        <f t="shared" si="31"/>
        <v>3.5744790553236996E-2</v>
      </c>
      <c r="U134" s="445">
        <f t="shared" si="31"/>
        <v>-4.6779420219646801E-3</v>
      </c>
      <c r="V134" s="445">
        <f t="shared" si="31"/>
        <v>-1.7598946059239797E-4</v>
      </c>
      <c r="W134" s="445">
        <f t="shared" si="31"/>
        <v>-1.455124298914642E-2</v>
      </c>
      <c r="X134" s="445">
        <f t="shared" si="31"/>
        <v>1.1481430604150284E-3</v>
      </c>
      <c r="Y134" s="43"/>
      <c r="Z134" s="388">
        <f t="shared" si="23"/>
        <v>0.87412367164000448</v>
      </c>
      <c r="AA134" s="43"/>
      <c r="AB134" s="462">
        <f>IF('TAR_Tab 2_Volumina'!C137="storage",1,0)</f>
        <v>0</v>
      </c>
      <c r="AC134" s="389">
        <f t="shared" si="22"/>
        <v>0.87412367164000448</v>
      </c>
      <c r="AD134" s="389">
        <f t="shared" si="24"/>
        <v>0.93294443860813392</v>
      </c>
      <c r="AE134" s="43"/>
      <c r="AF134" s="1027">
        <f t="shared" si="25"/>
        <v>0.93294443860813392</v>
      </c>
      <c r="AG134" s="392">
        <f t="shared" si="26"/>
        <v>0.93300000000000005</v>
      </c>
      <c r="AH134" s="392">
        <f>AG134+'TAR_Tab 14_Overige tarieven'!$AA$14+'TAR_Tab 14_Overige tarieven'!$AA$15</f>
        <v>1.113</v>
      </c>
      <c r="AI134" s="43"/>
    </row>
    <row r="135" spans="1:35">
      <c r="A135" s="96">
        <v>300325</v>
      </c>
      <c r="B135" s="1286" t="s">
        <v>277</v>
      </c>
      <c r="C135" s="1022"/>
      <c r="D135" s="1358"/>
      <c r="E135" s="1022"/>
      <c r="F135" s="1032">
        <v>1.209895599381168</v>
      </c>
      <c r="G135" s="390">
        <f t="shared" ref="G135:G198" si="32">F135*$G$5</f>
        <v>1.1513366523711195</v>
      </c>
      <c r="H135" s="390">
        <f t="shared" ref="H135:H198" si="33">G135*$H$5</f>
        <v>1.1782445476273462</v>
      </c>
      <c r="I135" s="387"/>
      <c r="J135" s="388">
        <f t="shared" ref="J135:J198" si="34">H135*$J$5</f>
        <v>1.1193323202459788</v>
      </c>
      <c r="K135" s="388">
        <f t="shared" ref="K135:K198" si="35">H135*$K$5</f>
        <v>1.2371567750087136</v>
      </c>
      <c r="L135" s="1316">
        <v>1.1873539321900433</v>
      </c>
      <c r="M135" s="61" t="b">
        <f t="shared" si="30"/>
        <v>1</v>
      </c>
      <c r="N135" s="857">
        <f t="shared" ref="N135:N198" si="36">IF(L135&gt;0,L135,H135)</f>
        <v>1.1873539321900433</v>
      </c>
      <c r="O135" s="15"/>
      <c r="P135" s="445">
        <f t="shared" si="27"/>
        <v>-5.5066933085199096E-2</v>
      </c>
      <c r="Q135" s="445">
        <f t="shared" si="29"/>
        <v>5.6979602368796588E-2</v>
      </c>
      <c r="R135" s="445">
        <f t="shared" si="31"/>
        <v>0</v>
      </c>
      <c r="S135" s="445">
        <f t="shared" si="31"/>
        <v>2.14656418457497E-3</v>
      </c>
      <c r="T135" s="445">
        <f t="shared" si="31"/>
        <v>4.9714019045306625E-2</v>
      </c>
      <c r="U135" s="445">
        <f t="shared" si="31"/>
        <v>-6.5061032719278883E-3</v>
      </c>
      <c r="V135" s="445">
        <f t="shared" si="31"/>
        <v>-2.4476695093885234E-4</v>
      </c>
      <c r="W135" s="445">
        <f t="shared" si="31"/>
        <v>-2.0237935651571459E-2</v>
      </c>
      <c r="X135" s="445">
        <f t="shared" si="31"/>
        <v>1.59684264724389E-3</v>
      </c>
      <c r="Y135" s="43"/>
      <c r="Z135" s="388">
        <f t="shared" si="23"/>
        <v>1.215735221476328</v>
      </c>
      <c r="AA135" s="43"/>
      <c r="AB135" s="462">
        <f>IF('TAR_Tab 2_Volumina'!C138="storage",1,0)</f>
        <v>0</v>
      </c>
      <c r="AC135" s="389">
        <f t="shared" ref="AC135:AC198" si="37">IF(AB135=1,Z135*$AC$5,Z135)</f>
        <v>1.215735221476328</v>
      </c>
      <c r="AD135" s="389">
        <f t="shared" si="24"/>
        <v>1.2975434146159104</v>
      </c>
      <c r="AE135" s="43"/>
      <c r="AF135" s="1027">
        <f t="shared" si="25"/>
        <v>1.2975434146159104</v>
      </c>
      <c r="AG135" s="392">
        <f t="shared" si="26"/>
        <v>1.298</v>
      </c>
      <c r="AH135" s="392">
        <f>AG135+'TAR_Tab 14_Overige tarieven'!$AA$14+'TAR_Tab 14_Overige tarieven'!$AA$15</f>
        <v>1.478</v>
      </c>
      <c r="AI135" s="43"/>
    </row>
    <row r="136" spans="1:35">
      <c r="A136" s="96">
        <v>300328</v>
      </c>
      <c r="B136" s="1286" t="s">
        <v>96</v>
      </c>
      <c r="C136" s="1022"/>
      <c r="D136" s="1358"/>
      <c r="E136" s="1022"/>
      <c r="F136" s="1032">
        <v>0.74591082065271141</v>
      </c>
      <c r="G136" s="390">
        <f t="shared" si="32"/>
        <v>0.70980873693312019</v>
      </c>
      <c r="H136" s="390">
        <f t="shared" si="33"/>
        <v>0.7263976808410697</v>
      </c>
      <c r="I136" s="387"/>
      <c r="J136" s="388">
        <f t="shared" si="34"/>
        <v>0.69007779679901615</v>
      </c>
      <c r="K136" s="388">
        <f t="shared" si="35"/>
        <v>0.76271756488312326</v>
      </c>
      <c r="L136" s="1316">
        <v>0.73201369309723296</v>
      </c>
      <c r="M136" s="61" t="b">
        <f t="shared" si="30"/>
        <v>1</v>
      </c>
      <c r="N136" s="857">
        <f t="shared" si="36"/>
        <v>0.73201369309723296</v>
      </c>
      <c r="O136" s="15"/>
      <c r="P136" s="445">
        <f t="shared" si="27"/>
        <v>-3.3949227742804976E-2</v>
      </c>
      <c r="Q136" s="445">
        <f t="shared" si="29"/>
        <v>3.512840445499002E-2</v>
      </c>
      <c r="R136" s="445">
        <f t="shared" si="31"/>
        <v>0</v>
      </c>
      <c r="S136" s="445">
        <f t="shared" si="31"/>
        <v>1.3233748873200141E-3</v>
      </c>
      <c r="T136" s="445">
        <f t="shared" si="31"/>
        <v>3.0649111181986152E-2</v>
      </c>
      <c r="U136" s="445">
        <f t="shared" si="31"/>
        <v>-4.0110674287080631E-3</v>
      </c>
      <c r="V136" s="445">
        <f t="shared" si="31"/>
        <v>-1.5090088544568938E-4</v>
      </c>
      <c r="W136" s="445">
        <f t="shared" si="31"/>
        <v>-1.2476857670944098E-2</v>
      </c>
      <c r="X136" s="445">
        <f t="shared" si="31"/>
        <v>9.8446693257513932E-4</v>
      </c>
      <c r="Y136" s="43"/>
      <c r="Z136" s="388">
        <f t="shared" ref="Z136:Z199" si="38">N136+SUM(P136:X136)</f>
        <v>0.74951099682620148</v>
      </c>
      <c r="AA136" s="43"/>
      <c r="AB136" s="462">
        <f>IF('TAR_Tab 2_Volumina'!C139="storage",1,0)</f>
        <v>0</v>
      </c>
      <c r="AC136" s="389">
        <f t="shared" si="37"/>
        <v>0.74951099682620148</v>
      </c>
      <c r="AD136" s="389">
        <f t="shared" ref="AD136:AD199" si="39">IF(AB136=0,AC136*(1+$AD$5),AC136)</f>
        <v>0.799946436472459</v>
      </c>
      <c r="AE136" s="43"/>
      <c r="AF136" s="1027">
        <f t="shared" ref="AF136:AF199" si="40">AD136</f>
        <v>0.799946436472459</v>
      </c>
      <c r="AG136" s="392">
        <f t="shared" ref="AG136:AG199" si="41">ROUND(AD136,3)</f>
        <v>0.8</v>
      </c>
      <c r="AH136" s="392">
        <f>AG136+'TAR_Tab 14_Overige tarieven'!$AA$14+'TAR_Tab 14_Overige tarieven'!$AA$15</f>
        <v>0.98000000000000009</v>
      </c>
      <c r="AI136" s="43"/>
    </row>
    <row r="137" spans="1:35">
      <c r="A137" s="96">
        <v>300330</v>
      </c>
      <c r="B137" s="1286" t="s">
        <v>97</v>
      </c>
      <c r="C137" s="1022"/>
      <c r="D137" s="1358"/>
      <c r="E137" s="1022"/>
      <c r="F137" s="1032">
        <v>1.4238771351394903</v>
      </c>
      <c r="G137" s="390">
        <f t="shared" si="32"/>
        <v>1.354961481798739</v>
      </c>
      <c r="H137" s="390">
        <f t="shared" si="33"/>
        <v>1.3866282940672239</v>
      </c>
      <c r="I137" s="387"/>
      <c r="J137" s="388">
        <f t="shared" si="34"/>
        <v>1.3172968793638626</v>
      </c>
      <c r="K137" s="388">
        <f t="shared" si="35"/>
        <v>1.4559597087705851</v>
      </c>
      <c r="L137" s="1316">
        <v>1.3973487598666294</v>
      </c>
      <c r="M137" s="61" t="b">
        <f t="shared" si="30"/>
        <v>1</v>
      </c>
      <c r="N137" s="857">
        <f t="shared" si="36"/>
        <v>1.3973487598666294</v>
      </c>
      <c r="O137" s="15"/>
      <c r="P137" s="445">
        <f t="shared" si="27"/>
        <v>-6.4806043564730173E-2</v>
      </c>
      <c r="Q137" s="445">
        <f t="shared" si="29"/>
        <v>6.7056986589393672E-2</v>
      </c>
      <c r="R137" s="445">
        <f t="shared" si="31"/>
        <v>0</v>
      </c>
      <c r="S137" s="445">
        <f t="shared" si="31"/>
        <v>2.5262044618469068E-3</v>
      </c>
      <c r="T137" s="445">
        <f t="shared" si="31"/>
        <v>5.8506415802079867E-2</v>
      </c>
      <c r="U137" s="445">
        <f t="shared" si="31"/>
        <v>-7.6567694704341429E-3</v>
      </c>
      <c r="V137" s="445">
        <f t="shared" si="31"/>
        <v>-2.8805631250985601E-4</v>
      </c>
      <c r="W137" s="445">
        <f t="shared" si="31"/>
        <v>-2.3817206915568396E-2</v>
      </c>
      <c r="X137" s="445">
        <f t="shared" si="31"/>
        <v>1.879259446012644E-3</v>
      </c>
      <c r="Y137" s="43"/>
      <c r="Z137" s="388">
        <f t="shared" si="38"/>
        <v>1.4307495499027199</v>
      </c>
      <c r="AA137" s="43"/>
      <c r="AB137" s="462">
        <f>IF('TAR_Tab 2_Volumina'!C140="storage",1,0)</f>
        <v>0</v>
      </c>
      <c r="AC137" s="389">
        <f t="shared" si="37"/>
        <v>1.4307495499027199</v>
      </c>
      <c r="AD137" s="389">
        <f t="shared" si="39"/>
        <v>1.5270262995149226</v>
      </c>
      <c r="AE137" s="43"/>
      <c r="AF137" s="1027">
        <f t="shared" si="40"/>
        <v>1.5270262995149226</v>
      </c>
      <c r="AG137" s="392">
        <f t="shared" si="41"/>
        <v>1.5269999999999999</v>
      </c>
      <c r="AH137" s="392">
        <f>AG137+'TAR_Tab 14_Overige tarieven'!$AA$14+'TAR_Tab 14_Overige tarieven'!$AA$15</f>
        <v>1.7069999999999999</v>
      </c>
      <c r="AI137" s="43"/>
    </row>
    <row r="138" spans="1:35">
      <c r="A138" s="96">
        <v>300333</v>
      </c>
      <c r="B138" s="1286" t="s">
        <v>770</v>
      </c>
      <c r="C138" s="1022"/>
      <c r="D138" s="1358"/>
      <c r="E138" s="1022"/>
      <c r="F138" s="1032">
        <v>1.3070713993330594</v>
      </c>
      <c r="G138" s="390">
        <f t="shared" si="32"/>
        <v>1.2438091436053393</v>
      </c>
      <c r="H138" s="390">
        <f t="shared" si="33"/>
        <v>1.2728782139645112</v>
      </c>
      <c r="I138" s="387"/>
      <c r="J138" s="388">
        <f t="shared" si="34"/>
        <v>1.2092343032662856</v>
      </c>
      <c r="K138" s="388">
        <f t="shared" si="35"/>
        <v>1.3365221246627368</v>
      </c>
      <c r="L138" s="1316">
        <v>1.2827192415982323</v>
      </c>
      <c r="M138" s="61" t="b">
        <f t="shared" si="30"/>
        <v>1</v>
      </c>
      <c r="N138" s="857">
        <f t="shared" si="36"/>
        <v>1.2827192415982323</v>
      </c>
      <c r="O138" s="15"/>
      <c r="P138" s="445">
        <f t="shared" ref="P138:P201" si="42">$N138*P$5</f>
        <v>-5.9489771945170564E-2</v>
      </c>
      <c r="Q138" s="445">
        <f t="shared" si="29"/>
        <v>6.1556062059996849E-2</v>
      </c>
      <c r="R138" s="445">
        <f t="shared" si="31"/>
        <v>0</v>
      </c>
      <c r="S138" s="445">
        <f t="shared" si="31"/>
        <v>2.3189708714749331E-3</v>
      </c>
      <c r="T138" s="445">
        <f t="shared" si="31"/>
        <v>5.3706925186978831E-2</v>
      </c>
      <c r="U138" s="445">
        <f t="shared" si="31"/>
        <v>-7.028657276044098E-3</v>
      </c>
      <c r="V138" s="445">
        <f t="shared" si="31"/>
        <v>-2.6442602257398685E-4</v>
      </c>
      <c r="W138" s="445">
        <f t="shared" si="31"/>
        <v>-2.1863396218022191E-2</v>
      </c>
      <c r="X138" s="445">
        <f t="shared" si="31"/>
        <v>1.7250970699582042E-3</v>
      </c>
      <c r="Y138" s="43"/>
      <c r="Z138" s="388">
        <f t="shared" si="38"/>
        <v>1.3133800453248303</v>
      </c>
      <c r="AA138" s="43"/>
      <c r="AB138" s="462">
        <f>IF('TAR_Tab 2_Volumina'!C141="storage",1,0)</f>
        <v>0</v>
      </c>
      <c r="AC138" s="389">
        <f t="shared" si="37"/>
        <v>1.3133800453248303</v>
      </c>
      <c r="AD138" s="389">
        <f t="shared" si="39"/>
        <v>1.4017588687031075</v>
      </c>
      <c r="AE138" s="43"/>
      <c r="AF138" s="1027">
        <f t="shared" si="40"/>
        <v>1.4017588687031075</v>
      </c>
      <c r="AG138" s="392">
        <f t="shared" si="41"/>
        <v>1.4019999999999999</v>
      </c>
      <c r="AH138" s="392">
        <f>AG138+'TAR_Tab 14_Overige tarieven'!$AA$14+'TAR_Tab 14_Overige tarieven'!$AA$15</f>
        <v>1.5819999999999999</v>
      </c>
      <c r="AI138" s="43"/>
    </row>
    <row r="139" spans="1:35">
      <c r="A139" s="96">
        <v>300337</v>
      </c>
      <c r="B139" s="1286" t="s">
        <v>771</v>
      </c>
      <c r="C139" s="1022"/>
      <c r="D139" s="1358"/>
      <c r="E139" s="1022"/>
      <c r="F139" s="1032">
        <v>1.6462417469524044</v>
      </c>
      <c r="G139" s="390">
        <f t="shared" si="32"/>
        <v>1.566563646399908</v>
      </c>
      <c r="H139" s="390">
        <f t="shared" si="33"/>
        <v>1.6031758140250152</v>
      </c>
      <c r="I139" s="387"/>
      <c r="J139" s="388">
        <f t="shared" si="34"/>
        <v>1.5230170233237643</v>
      </c>
      <c r="K139" s="388">
        <f t="shared" si="35"/>
        <v>1.6833346047262661</v>
      </c>
      <c r="L139" s="1316">
        <v>1.6155704777991673</v>
      </c>
      <c r="M139" s="61" t="b">
        <f t="shared" si="30"/>
        <v>1</v>
      </c>
      <c r="N139" s="857">
        <f t="shared" si="36"/>
        <v>1.6155704777991673</v>
      </c>
      <c r="O139" s="15"/>
      <c r="P139" s="445">
        <f t="shared" si="42"/>
        <v>-7.4926699599416974E-2</v>
      </c>
      <c r="Q139" s="445">
        <f t="shared" si="29"/>
        <v>7.7529168791289585E-2</v>
      </c>
      <c r="R139" s="445">
        <f t="shared" si="31"/>
        <v>0</v>
      </c>
      <c r="S139" s="445">
        <f t="shared" si="31"/>
        <v>2.9207177668615337E-3</v>
      </c>
      <c r="T139" s="445">
        <f t="shared" si="31"/>
        <v>6.7643269058115837E-2</v>
      </c>
      <c r="U139" s="445">
        <f t="shared" si="31"/>
        <v>-8.8525148960865215E-3</v>
      </c>
      <c r="V139" s="445">
        <f t="shared" si="31"/>
        <v>-3.3304160550371993E-4</v>
      </c>
      <c r="W139" s="445">
        <f t="shared" si="31"/>
        <v>-2.7536701975603463E-2</v>
      </c>
      <c r="X139" s="445">
        <f t="shared" si="31"/>
        <v>2.1727403840062273E-3</v>
      </c>
      <c r="Y139" s="43"/>
      <c r="Z139" s="388">
        <f t="shared" si="38"/>
        <v>1.6541874157228298</v>
      </c>
      <c r="AA139" s="43"/>
      <c r="AB139" s="462">
        <f>IF('TAR_Tab 2_Volumina'!C142="storage",1,0)</f>
        <v>0</v>
      </c>
      <c r="AC139" s="389">
        <f t="shared" si="37"/>
        <v>1.6541874157228298</v>
      </c>
      <c r="AD139" s="389">
        <f t="shared" si="39"/>
        <v>1.7654995511318761</v>
      </c>
      <c r="AE139" s="43"/>
      <c r="AF139" s="1027">
        <f t="shared" si="40"/>
        <v>1.7654995511318761</v>
      </c>
      <c r="AG139" s="392">
        <f t="shared" si="41"/>
        <v>1.7649999999999999</v>
      </c>
      <c r="AH139" s="392">
        <f>AG139+'TAR_Tab 14_Overige tarieven'!$AA$14+'TAR_Tab 14_Overige tarieven'!$AA$15</f>
        <v>1.9449999999999998</v>
      </c>
      <c r="AI139" s="43"/>
    </row>
    <row r="140" spans="1:35">
      <c r="A140" s="96">
        <v>300338</v>
      </c>
      <c r="B140" s="1286" t="s">
        <v>98</v>
      </c>
      <c r="C140" s="1022"/>
      <c r="D140" s="1358"/>
      <c r="E140" s="1022"/>
      <c r="F140" s="1032">
        <v>0.26397722168316395</v>
      </c>
      <c r="G140" s="390">
        <f t="shared" si="32"/>
        <v>0.25120072415369882</v>
      </c>
      <c r="H140" s="390">
        <f t="shared" si="33"/>
        <v>0.25707153766414825</v>
      </c>
      <c r="I140" s="387"/>
      <c r="J140" s="388">
        <f t="shared" si="34"/>
        <v>0.24421796078094082</v>
      </c>
      <c r="K140" s="388">
        <f t="shared" si="35"/>
        <v>0.26992511454735568</v>
      </c>
      <c r="L140" s="1316">
        <v>0.25905903975055489</v>
      </c>
      <c r="M140" s="61" t="b">
        <f t="shared" si="30"/>
        <v>1</v>
      </c>
      <c r="N140" s="857">
        <f t="shared" si="36"/>
        <v>0.25905903975055489</v>
      </c>
      <c r="O140" s="15"/>
      <c r="P140" s="445">
        <f t="shared" si="42"/>
        <v>-1.2014603582225258E-2</v>
      </c>
      <c r="Q140" s="445">
        <f t="shared" si="29"/>
        <v>1.2431913244101074E-2</v>
      </c>
      <c r="R140" s="445">
        <f t="shared" si="31"/>
        <v>0</v>
      </c>
      <c r="S140" s="445">
        <f t="shared" si="31"/>
        <v>4.6834127663453889E-4</v>
      </c>
      <c r="T140" s="445">
        <f t="shared" si="31"/>
        <v>1.0846695064430537E-2</v>
      </c>
      <c r="U140" s="445">
        <f t="shared" si="31"/>
        <v>-1.4195134411479028E-3</v>
      </c>
      <c r="V140" s="445">
        <f t="shared" si="31"/>
        <v>-5.3403698386658695E-5</v>
      </c>
      <c r="W140" s="445">
        <f t="shared" si="31"/>
        <v>-4.4155495967064997E-3</v>
      </c>
      <c r="X140" s="445">
        <f t="shared" si="31"/>
        <v>3.4840203212593959E-4</v>
      </c>
      <c r="Y140" s="43"/>
      <c r="Z140" s="388">
        <f t="shared" si="38"/>
        <v>0.26525132104938065</v>
      </c>
      <c r="AA140" s="43"/>
      <c r="AB140" s="462">
        <f>IF('TAR_Tab 2_Volumina'!C143="storage",1,0)</f>
        <v>0</v>
      </c>
      <c r="AC140" s="389">
        <f t="shared" si="37"/>
        <v>0.26525132104938065</v>
      </c>
      <c r="AD140" s="389">
        <f t="shared" si="39"/>
        <v>0.28310038137074406</v>
      </c>
      <c r="AE140" s="43"/>
      <c r="AF140" s="1027">
        <f t="shared" si="40"/>
        <v>0.28310038137074406</v>
      </c>
      <c r="AG140" s="392">
        <f t="shared" si="41"/>
        <v>0.28299999999999997</v>
      </c>
      <c r="AH140" s="392">
        <f>AG140+'TAR_Tab 14_Overige tarieven'!$AA$14+'TAR_Tab 14_Overige tarieven'!$AA$15</f>
        <v>0.46299999999999997</v>
      </c>
      <c r="AI140" s="43"/>
    </row>
    <row r="141" spans="1:35">
      <c r="A141" s="96">
        <v>300345</v>
      </c>
      <c r="B141" s="1286" t="s">
        <v>772</v>
      </c>
      <c r="C141" s="1022"/>
      <c r="D141" s="1358"/>
      <c r="E141" s="1022"/>
      <c r="F141" s="1032">
        <v>1.3532010463168662</v>
      </c>
      <c r="G141" s="390">
        <f t="shared" si="32"/>
        <v>1.2877061156751299</v>
      </c>
      <c r="H141" s="390">
        <f t="shared" si="33"/>
        <v>1.3178011024107907</v>
      </c>
      <c r="I141" s="387"/>
      <c r="J141" s="388">
        <f t="shared" si="34"/>
        <v>1.251911047290251</v>
      </c>
      <c r="K141" s="388">
        <f t="shared" si="35"/>
        <v>1.3836911575313304</v>
      </c>
      <c r="L141" s="1316">
        <v>1.3279894432294939</v>
      </c>
      <c r="M141" s="61" t="b">
        <f t="shared" si="30"/>
        <v>1</v>
      </c>
      <c r="N141" s="857">
        <f t="shared" si="36"/>
        <v>1.3279894432294939</v>
      </c>
      <c r="O141" s="15"/>
      <c r="P141" s="445">
        <f t="shared" si="42"/>
        <v>-6.1589306967035601E-2</v>
      </c>
      <c r="Q141" s="445">
        <f t="shared" si="29"/>
        <v>6.3728521356397838E-2</v>
      </c>
      <c r="R141" s="445">
        <f t="shared" si="31"/>
        <v>0</v>
      </c>
      <c r="S141" s="445">
        <f t="shared" si="31"/>
        <v>2.4008128486779027E-3</v>
      </c>
      <c r="T141" s="445">
        <f t="shared" si="31"/>
        <v>5.5602369843426223E-2</v>
      </c>
      <c r="U141" s="445">
        <f t="shared" si="31"/>
        <v>-7.2767152467712671E-3</v>
      </c>
      <c r="V141" s="445">
        <f t="shared" si="31"/>
        <v>-2.7375824350766664E-4</v>
      </c>
      <c r="W141" s="445">
        <f t="shared" si="31"/>
        <v>-2.2635007279146378E-2</v>
      </c>
      <c r="X141" s="445">
        <f t="shared" si="31"/>
        <v>1.7859798334327755E-3</v>
      </c>
      <c r="Y141" s="43"/>
      <c r="Z141" s="388">
        <f t="shared" si="38"/>
        <v>1.3597323393749676</v>
      </c>
      <c r="AA141" s="43"/>
      <c r="AB141" s="462">
        <f>IF('TAR_Tab 2_Volumina'!C144="storage",1,0)</f>
        <v>0</v>
      </c>
      <c r="AC141" s="389">
        <f t="shared" si="37"/>
        <v>1.3597323393749676</v>
      </c>
      <c r="AD141" s="389">
        <f t="shared" si="39"/>
        <v>1.4512302608571161</v>
      </c>
      <c r="AE141" s="43"/>
      <c r="AF141" s="1027">
        <f t="shared" si="40"/>
        <v>1.4512302608571161</v>
      </c>
      <c r="AG141" s="392">
        <f t="shared" si="41"/>
        <v>1.4510000000000001</v>
      </c>
      <c r="AH141" s="392">
        <f>AG141+'TAR_Tab 14_Overige tarieven'!$AA$14+'TAR_Tab 14_Overige tarieven'!$AA$15</f>
        <v>1.631</v>
      </c>
      <c r="AI141" s="43"/>
    </row>
    <row r="142" spans="1:35">
      <c r="A142" s="96">
        <v>300348</v>
      </c>
      <c r="B142" s="1286" t="s">
        <v>773</v>
      </c>
      <c r="C142" s="1022"/>
      <c r="D142" s="1358"/>
      <c r="E142" s="1022"/>
      <c r="F142" s="1032">
        <v>0.74591082065271141</v>
      </c>
      <c r="G142" s="390">
        <f t="shared" si="32"/>
        <v>0.70980873693312019</v>
      </c>
      <c r="H142" s="390">
        <f t="shared" si="33"/>
        <v>0.7263976808410697</v>
      </c>
      <c r="I142" s="387"/>
      <c r="J142" s="388">
        <f t="shared" si="34"/>
        <v>0.69007779679901615</v>
      </c>
      <c r="K142" s="388">
        <f t="shared" si="35"/>
        <v>0.76271756488312326</v>
      </c>
      <c r="L142" s="1316">
        <v>0.73201369309723296</v>
      </c>
      <c r="M142" s="61" t="b">
        <f t="shared" si="30"/>
        <v>1</v>
      </c>
      <c r="N142" s="857">
        <f t="shared" si="36"/>
        <v>0.73201369309723296</v>
      </c>
      <c r="O142" s="15"/>
      <c r="P142" s="445">
        <f t="shared" si="42"/>
        <v>-3.3949227742804976E-2</v>
      </c>
      <c r="Q142" s="445">
        <f t="shared" si="29"/>
        <v>3.512840445499002E-2</v>
      </c>
      <c r="R142" s="445">
        <f t="shared" si="31"/>
        <v>0</v>
      </c>
      <c r="S142" s="445">
        <f t="shared" si="31"/>
        <v>1.3233748873200141E-3</v>
      </c>
      <c r="T142" s="445">
        <f t="shared" si="31"/>
        <v>3.0649111181986152E-2</v>
      </c>
      <c r="U142" s="445">
        <f t="shared" si="31"/>
        <v>-4.0110674287080631E-3</v>
      </c>
      <c r="V142" s="445">
        <f t="shared" si="31"/>
        <v>-1.5090088544568938E-4</v>
      </c>
      <c r="W142" s="445">
        <f t="shared" si="31"/>
        <v>-1.2476857670944098E-2</v>
      </c>
      <c r="X142" s="445">
        <f t="shared" si="31"/>
        <v>9.8446693257513932E-4</v>
      </c>
      <c r="Y142" s="43"/>
      <c r="Z142" s="388">
        <f t="shared" si="38"/>
        <v>0.74951099682620148</v>
      </c>
      <c r="AA142" s="43"/>
      <c r="AB142" s="462">
        <f>IF('TAR_Tab 2_Volumina'!C145="storage",1,0)</f>
        <v>0</v>
      </c>
      <c r="AC142" s="389">
        <f t="shared" si="37"/>
        <v>0.74951099682620148</v>
      </c>
      <c r="AD142" s="389">
        <f t="shared" si="39"/>
        <v>0.799946436472459</v>
      </c>
      <c r="AE142" s="43"/>
      <c r="AF142" s="1027">
        <f t="shared" si="40"/>
        <v>0.799946436472459</v>
      </c>
      <c r="AG142" s="392">
        <f t="shared" si="41"/>
        <v>0.8</v>
      </c>
      <c r="AH142" s="392">
        <f>AG142+'TAR_Tab 14_Overige tarieven'!$AA$14+'TAR_Tab 14_Overige tarieven'!$AA$15</f>
        <v>0.98000000000000009</v>
      </c>
      <c r="AI142" s="43"/>
    </row>
    <row r="143" spans="1:35">
      <c r="A143" s="96">
        <v>300350</v>
      </c>
      <c r="B143" s="1286" t="s">
        <v>774</v>
      </c>
      <c r="C143" s="1022"/>
      <c r="D143" s="1358"/>
      <c r="E143" s="1022"/>
      <c r="F143" s="1032">
        <v>1.2908886105794122</v>
      </c>
      <c r="G143" s="390">
        <f t="shared" si="32"/>
        <v>1.2284096018273687</v>
      </c>
      <c r="H143" s="390">
        <f t="shared" si="33"/>
        <v>1.2571187694106651</v>
      </c>
      <c r="I143" s="387"/>
      <c r="J143" s="388">
        <f t="shared" si="34"/>
        <v>1.1942628309401317</v>
      </c>
      <c r="K143" s="388">
        <f t="shared" si="35"/>
        <v>1.3199747078811985</v>
      </c>
      <c r="L143" s="1316">
        <v>1.2668379557498735</v>
      </c>
      <c r="M143" s="61" t="b">
        <f t="shared" si="30"/>
        <v>1</v>
      </c>
      <c r="N143" s="857">
        <f t="shared" si="36"/>
        <v>1.2668379557498735</v>
      </c>
      <c r="O143" s="15"/>
      <c r="P143" s="445">
        <f t="shared" si="42"/>
        <v>-5.8753231911563703E-2</v>
      </c>
      <c r="Q143" s="445">
        <f t="shared" si="29"/>
        <v>6.0793939386873094E-2</v>
      </c>
      <c r="R143" s="445">
        <f t="shared" si="31"/>
        <v>0</v>
      </c>
      <c r="S143" s="445">
        <f t="shared" si="31"/>
        <v>2.2902598035423869E-3</v>
      </c>
      <c r="T143" s="445">
        <f t="shared" si="31"/>
        <v>5.3041982303711488E-2</v>
      </c>
      <c r="U143" s="445">
        <f t="shared" si="31"/>
        <v>-6.9416358050073627E-3</v>
      </c>
      <c r="V143" s="445">
        <f t="shared" si="31"/>
        <v>-2.6115217658021373E-4</v>
      </c>
      <c r="W143" s="445">
        <f t="shared" si="31"/>
        <v>-2.1592706550560968E-2</v>
      </c>
      <c r="X143" s="445">
        <f t="shared" si="31"/>
        <v>1.7037387252825317E-3</v>
      </c>
      <c r="Y143" s="43"/>
      <c r="Z143" s="388">
        <f t="shared" si="38"/>
        <v>1.2971191495255707</v>
      </c>
      <c r="AA143" s="43"/>
      <c r="AB143" s="462">
        <f>IF('TAR_Tab 2_Volumina'!C146="storage",1,0)</f>
        <v>0</v>
      </c>
      <c r="AC143" s="389">
        <f t="shared" si="37"/>
        <v>1.2971191495255707</v>
      </c>
      <c r="AD143" s="389">
        <f t="shared" si="39"/>
        <v>1.384403758900117</v>
      </c>
      <c r="AE143" s="43"/>
      <c r="AF143" s="1027">
        <f t="shared" si="40"/>
        <v>1.384403758900117</v>
      </c>
      <c r="AG143" s="392">
        <f t="shared" si="41"/>
        <v>1.3839999999999999</v>
      </c>
      <c r="AH143" s="392">
        <f>AG143+'TAR_Tab 14_Overige tarieven'!$AA$14+'TAR_Tab 14_Overige tarieven'!$AA$15</f>
        <v>1.5639999999999998</v>
      </c>
      <c r="AI143" s="43"/>
    </row>
    <row r="144" spans="1:35">
      <c r="A144" s="96">
        <v>300353</v>
      </c>
      <c r="B144" s="1286" t="s">
        <v>775</v>
      </c>
      <c r="C144" s="1022"/>
      <c r="D144" s="1358"/>
      <c r="E144" s="1022"/>
      <c r="F144" s="1032">
        <v>1.7078526311925906</v>
      </c>
      <c r="G144" s="390">
        <f t="shared" si="32"/>
        <v>1.6251925638428693</v>
      </c>
      <c r="H144" s="390">
        <f t="shared" si="33"/>
        <v>1.66317494822108</v>
      </c>
      <c r="I144" s="387"/>
      <c r="J144" s="388">
        <f t="shared" si="34"/>
        <v>1.580016200810026</v>
      </c>
      <c r="K144" s="388">
        <f t="shared" si="35"/>
        <v>1.746333695632134</v>
      </c>
      <c r="L144" s="1316">
        <v>1.6760334844467715</v>
      </c>
      <c r="M144" s="61" t="b">
        <f t="shared" si="30"/>
        <v>1</v>
      </c>
      <c r="N144" s="857">
        <f t="shared" si="36"/>
        <v>1.6760334844467715</v>
      </c>
      <c r="O144" s="15"/>
      <c r="P144" s="445">
        <f t="shared" si="42"/>
        <v>-7.7730844388033085E-2</v>
      </c>
      <c r="Q144" s="445">
        <f t="shared" si="29"/>
        <v>8.0430711442896319E-2</v>
      </c>
      <c r="R144" s="445">
        <f t="shared" si="31"/>
        <v>0</v>
      </c>
      <c r="S144" s="445">
        <f t="shared" si="31"/>
        <v>3.0300261382264857E-3</v>
      </c>
      <c r="T144" s="445">
        <f t="shared" si="31"/>
        <v>7.0174830189573309E-2</v>
      </c>
      <c r="U144" s="445">
        <f t="shared" si="31"/>
        <v>-9.1838218086387029E-3</v>
      </c>
      <c r="V144" s="445">
        <f t="shared" si="31"/>
        <v>-3.4550574562277665E-4</v>
      </c>
      <c r="W144" s="445">
        <f t="shared" si="31"/>
        <v>-2.8567267845358714E-2</v>
      </c>
      <c r="X144" s="445">
        <f t="shared" si="31"/>
        <v>2.2540555714814572E-3</v>
      </c>
      <c r="Y144" s="43"/>
      <c r="Z144" s="388">
        <f t="shared" si="38"/>
        <v>1.7160956680012958</v>
      </c>
      <c r="AA144" s="43"/>
      <c r="AB144" s="462">
        <f>IF('TAR_Tab 2_Volumina'!C147="storage",1,0)</f>
        <v>0</v>
      </c>
      <c r="AC144" s="389">
        <f t="shared" si="37"/>
        <v>1.7160956680012958</v>
      </c>
      <c r="AD144" s="389">
        <f t="shared" si="39"/>
        <v>1.8315736794743591</v>
      </c>
      <c r="AE144" s="43"/>
      <c r="AF144" s="1027">
        <f t="shared" si="40"/>
        <v>1.8315736794743591</v>
      </c>
      <c r="AG144" s="392">
        <f t="shared" si="41"/>
        <v>1.8320000000000001</v>
      </c>
      <c r="AH144" s="392">
        <f>AG144+'TAR_Tab 14_Overige tarieven'!$AA$14+'TAR_Tab 14_Overige tarieven'!$AA$15</f>
        <v>2.012</v>
      </c>
      <c r="AI144" s="43"/>
    </row>
    <row r="145" spans="1:35">
      <c r="A145" s="96">
        <v>300355</v>
      </c>
      <c r="B145" s="1286" t="s">
        <v>776</v>
      </c>
      <c r="C145" s="1022"/>
      <c r="D145" s="1358"/>
      <c r="E145" s="1022"/>
      <c r="F145" s="1032">
        <v>0.86992493509224478</v>
      </c>
      <c r="G145" s="390">
        <f t="shared" si="32"/>
        <v>0.82782056823378014</v>
      </c>
      <c r="H145" s="390">
        <f t="shared" si="33"/>
        <v>0.84716756730230669</v>
      </c>
      <c r="I145" s="387"/>
      <c r="J145" s="388">
        <f t="shared" si="34"/>
        <v>0.80480918893719133</v>
      </c>
      <c r="K145" s="388">
        <f t="shared" si="35"/>
        <v>0.88952594566742205</v>
      </c>
      <c r="L145" s="1316">
        <v>0.85371729008705588</v>
      </c>
      <c r="M145" s="61" t="b">
        <f t="shared" si="30"/>
        <v>1</v>
      </c>
      <c r="N145" s="857">
        <f t="shared" si="36"/>
        <v>0.85371729008705588</v>
      </c>
      <c r="O145" s="15"/>
      <c r="P145" s="445">
        <f t="shared" si="42"/>
        <v>-3.9593579986878687E-2</v>
      </c>
      <c r="Q145" s="445">
        <f t="shared" si="29"/>
        <v>4.0968805008969447E-2</v>
      </c>
      <c r="R145" s="445">
        <f t="shared" si="31"/>
        <v>0</v>
      </c>
      <c r="S145" s="445">
        <f t="shared" si="31"/>
        <v>1.5433973889092758E-3</v>
      </c>
      <c r="T145" s="445">
        <f t="shared" si="31"/>
        <v>3.5744790553236996E-2</v>
      </c>
      <c r="U145" s="445">
        <f t="shared" si="31"/>
        <v>-4.6779420219646801E-3</v>
      </c>
      <c r="V145" s="445">
        <f t="shared" si="31"/>
        <v>-1.7598946059239797E-4</v>
      </c>
      <c r="W145" s="445">
        <f t="shared" si="31"/>
        <v>-1.455124298914642E-2</v>
      </c>
      <c r="X145" s="445">
        <f t="shared" si="31"/>
        <v>1.1481430604150284E-3</v>
      </c>
      <c r="Y145" s="43"/>
      <c r="Z145" s="388">
        <f t="shared" si="38"/>
        <v>0.87412367164000448</v>
      </c>
      <c r="AA145" s="43"/>
      <c r="AB145" s="462">
        <f>IF('TAR_Tab 2_Volumina'!C148="storage",1,0)</f>
        <v>0</v>
      </c>
      <c r="AC145" s="389">
        <f t="shared" si="37"/>
        <v>0.87412367164000448</v>
      </c>
      <c r="AD145" s="389">
        <f t="shared" si="39"/>
        <v>0.93294443860813392</v>
      </c>
      <c r="AE145" s="43"/>
      <c r="AF145" s="1027">
        <f t="shared" si="40"/>
        <v>0.93294443860813392</v>
      </c>
      <c r="AG145" s="392">
        <f t="shared" si="41"/>
        <v>0.93300000000000005</v>
      </c>
      <c r="AH145" s="392">
        <f>AG145+'TAR_Tab 14_Overige tarieven'!$AA$14+'TAR_Tab 14_Overige tarieven'!$AA$15</f>
        <v>1.113</v>
      </c>
      <c r="AI145" s="43"/>
    </row>
    <row r="146" spans="1:35">
      <c r="A146" s="96">
        <v>300360</v>
      </c>
      <c r="B146" s="1286" t="s">
        <v>777</v>
      </c>
      <c r="C146" s="1022"/>
      <c r="D146" s="1358"/>
      <c r="E146" s="1022"/>
      <c r="F146" s="1032">
        <v>1.9078353748919574</v>
      </c>
      <c r="G146" s="390">
        <f t="shared" si="32"/>
        <v>1.8154961427471867</v>
      </c>
      <c r="H146" s="390">
        <f t="shared" si="33"/>
        <v>1.8579261131181624</v>
      </c>
      <c r="I146" s="387"/>
      <c r="J146" s="388">
        <f t="shared" si="34"/>
        <v>1.7650298074622541</v>
      </c>
      <c r="K146" s="388">
        <f t="shared" si="35"/>
        <v>1.9508224187740706</v>
      </c>
      <c r="L146" s="1316">
        <v>1.8722903327426468</v>
      </c>
      <c r="M146" s="61" t="b">
        <f t="shared" si="30"/>
        <v>1</v>
      </c>
      <c r="N146" s="857">
        <f t="shared" si="36"/>
        <v>1.8722903327426468</v>
      </c>
      <c r="O146" s="15"/>
      <c r="P146" s="445">
        <f t="shared" si="42"/>
        <v>-8.6832816798809817E-2</v>
      </c>
      <c r="Q146" s="445">
        <f t="shared" si="29"/>
        <v>8.9848827536912312E-2</v>
      </c>
      <c r="R146" s="445">
        <f t="shared" si="31"/>
        <v>0</v>
      </c>
      <c r="S146" s="445">
        <f t="shared" si="31"/>
        <v>3.3848301356768948E-3</v>
      </c>
      <c r="T146" s="445">
        <f t="shared" si="31"/>
        <v>7.8392023420202517E-2</v>
      </c>
      <c r="U146" s="445">
        <f t="shared" si="31"/>
        <v>-1.0259210779205299E-2</v>
      </c>
      <c r="V146" s="445">
        <f t="shared" si="31"/>
        <v>-3.8596309288539693E-4</v>
      </c>
      <c r="W146" s="445">
        <f t="shared" si="31"/>
        <v>-3.1912381176196977E-2</v>
      </c>
      <c r="X146" s="445">
        <f t="shared" si="31"/>
        <v>2.5179965049102002E-3</v>
      </c>
      <c r="Y146" s="43"/>
      <c r="Z146" s="388">
        <f t="shared" si="38"/>
        <v>1.9170436384932512</v>
      </c>
      <c r="AA146" s="43"/>
      <c r="AB146" s="462">
        <f>IF('TAR_Tab 2_Volumina'!C149="storage",1,0)</f>
        <v>0</v>
      </c>
      <c r="AC146" s="389">
        <f t="shared" si="37"/>
        <v>1.9170436384932512</v>
      </c>
      <c r="AD146" s="389">
        <f t="shared" si="39"/>
        <v>2.046043665361287</v>
      </c>
      <c r="AE146" s="43"/>
      <c r="AF146" s="1027">
        <f t="shared" si="40"/>
        <v>2.046043665361287</v>
      </c>
      <c r="AG146" s="392">
        <f t="shared" si="41"/>
        <v>2.0459999999999998</v>
      </c>
      <c r="AH146" s="392">
        <f>AG146+'TAR_Tab 14_Overige tarieven'!$AA$14+'TAR_Tab 14_Overige tarieven'!$AA$15</f>
        <v>2.226</v>
      </c>
      <c r="AI146" s="43"/>
    </row>
    <row r="147" spans="1:35">
      <c r="A147" s="96">
        <v>300363</v>
      </c>
      <c r="B147" s="1286" t="s">
        <v>778</v>
      </c>
      <c r="C147" s="1022"/>
      <c r="D147" s="1358"/>
      <c r="E147" s="1022"/>
      <c r="F147" s="1032">
        <v>1.4588167377367187</v>
      </c>
      <c r="G147" s="390">
        <f t="shared" si="32"/>
        <v>1.3882100076302615</v>
      </c>
      <c r="H147" s="390">
        <f t="shared" si="33"/>
        <v>1.4206538713794372</v>
      </c>
      <c r="I147" s="387"/>
      <c r="J147" s="388">
        <f t="shared" si="34"/>
        <v>1.3496211778104652</v>
      </c>
      <c r="K147" s="388">
        <f t="shared" si="35"/>
        <v>1.4916865649484092</v>
      </c>
      <c r="L147" s="1316">
        <v>1.4316373997742342</v>
      </c>
      <c r="M147" s="61" t="b">
        <f t="shared" si="30"/>
        <v>1</v>
      </c>
      <c r="N147" s="857">
        <f t="shared" si="36"/>
        <v>1.4316373997742342</v>
      </c>
      <c r="O147" s="15"/>
      <c r="P147" s="445">
        <f t="shared" si="42"/>
        <v>-6.6396277266901768E-2</v>
      </c>
      <c r="Q147" s="445">
        <f t="shared" si="29"/>
        <v>6.8702454730555695E-2</v>
      </c>
      <c r="R147" s="445">
        <f t="shared" si="31"/>
        <v>0</v>
      </c>
      <c r="S147" s="445">
        <f t="shared" si="31"/>
        <v>2.5881933636966643E-3</v>
      </c>
      <c r="T147" s="445">
        <f t="shared" si="31"/>
        <v>5.9942067001937507E-2</v>
      </c>
      <c r="U147" s="445">
        <f t="shared" si="31"/>
        <v>-7.8446539977387771E-3</v>
      </c>
      <c r="V147" s="445">
        <f t="shared" si="31"/>
        <v>-2.9512474056192343E-4</v>
      </c>
      <c r="W147" s="445">
        <f t="shared" si="31"/>
        <v>-2.440164199361633E-2</v>
      </c>
      <c r="X147" s="445">
        <f t="shared" si="31"/>
        <v>1.9253733814080156E-3</v>
      </c>
      <c r="Y147" s="43"/>
      <c r="Z147" s="388">
        <f t="shared" si="38"/>
        <v>1.4658577902530132</v>
      </c>
      <c r="AA147" s="43"/>
      <c r="AB147" s="462">
        <f>IF('TAR_Tab 2_Volumina'!C150="storage",1,0)</f>
        <v>0</v>
      </c>
      <c r="AC147" s="389">
        <f t="shared" si="37"/>
        <v>1.4658577902530132</v>
      </c>
      <c r="AD147" s="389">
        <f t="shared" si="39"/>
        <v>1.5644970129240123</v>
      </c>
      <c r="AE147" s="43"/>
      <c r="AF147" s="1027">
        <f t="shared" si="40"/>
        <v>1.5644970129240123</v>
      </c>
      <c r="AG147" s="392">
        <f t="shared" si="41"/>
        <v>1.5640000000000001</v>
      </c>
      <c r="AH147" s="392">
        <f>AG147+'TAR_Tab 14_Overige tarieven'!$AA$14+'TAR_Tab 14_Overige tarieven'!$AA$15</f>
        <v>1.744</v>
      </c>
      <c r="AI147" s="43"/>
    </row>
    <row r="148" spans="1:35">
      <c r="A148" s="96">
        <v>300366</v>
      </c>
      <c r="B148" s="1286" t="s">
        <v>779</v>
      </c>
      <c r="C148" s="1022"/>
      <c r="D148" s="1358"/>
      <c r="E148" s="1022"/>
      <c r="F148" s="1032">
        <v>1.6106392941527574</v>
      </c>
      <c r="G148" s="390">
        <f t="shared" si="32"/>
        <v>1.5326843523157641</v>
      </c>
      <c r="H148" s="390">
        <f t="shared" si="33"/>
        <v>1.5685047267718675</v>
      </c>
      <c r="I148" s="387"/>
      <c r="J148" s="388">
        <f t="shared" si="34"/>
        <v>1.4900794904332739</v>
      </c>
      <c r="K148" s="388">
        <f t="shared" si="35"/>
        <v>1.646929963110461</v>
      </c>
      <c r="L148" s="1316">
        <v>1.5806313373072995</v>
      </c>
      <c r="M148" s="61" t="b">
        <f t="shared" si="30"/>
        <v>1</v>
      </c>
      <c r="N148" s="857">
        <f t="shared" si="36"/>
        <v>1.5806313373072995</v>
      </c>
      <c r="O148" s="15"/>
      <c r="P148" s="445">
        <f t="shared" si="42"/>
        <v>-7.3306297072959423E-2</v>
      </c>
      <c r="Q148" s="445">
        <f t="shared" si="29"/>
        <v>7.5852483955907657E-2</v>
      </c>
      <c r="R148" s="445">
        <f t="shared" si="31"/>
        <v>0</v>
      </c>
      <c r="S148" s="445">
        <f t="shared" si="31"/>
        <v>2.8575528540361367E-3</v>
      </c>
      <c r="T148" s="445">
        <f t="shared" si="31"/>
        <v>6.6180381667297533E-2</v>
      </c>
      <c r="U148" s="445">
        <f t="shared" si="31"/>
        <v>-8.6610659522545781E-3</v>
      </c>
      <c r="V148" s="445">
        <f t="shared" si="31"/>
        <v>-3.2583908007741776E-4</v>
      </c>
      <c r="W148" s="445">
        <f t="shared" si="31"/>
        <v>-2.6941179395666901E-2</v>
      </c>
      <c r="X148" s="445">
        <f t="shared" si="31"/>
        <v>2.125751606622425E-3</v>
      </c>
      <c r="Y148" s="43"/>
      <c r="Z148" s="388">
        <f t="shared" si="38"/>
        <v>1.618413125890205</v>
      </c>
      <c r="AA148" s="43"/>
      <c r="AB148" s="462">
        <f>IF('TAR_Tab 2_Volumina'!C151="storage",1,0)</f>
        <v>0</v>
      </c>
      <c r="AC148" s="389">
        <f t="shared" si="37"/>
        <v>1.618413125890205</v>
      </c>
      <c r="AD148" s="389">
        <f t="shared" si="39"/>
        <v>1.727317969020177</v>
      </c>
      <c r="AE148" s="43"/>
      <c r="AF148" s="1027">
        <f t="shared" si="40"/>
        <v>1.727317969020177</v>
      </c>
      <c r="AG148" s="392">
        <f t="shared" si="41"/>
        <v>1.7270000000000001</v>
      </c>
      <c r="AH148" s="392">
        <f>AG148+'TAR_Tab 14_Overige tarieven'!$AA$14+'TAR_Tab 14_Overige tarieven'!$AA$15</f>
        <v>1.907</v>
      </c>
      <c r="AI148" s="43"/>
    </row>
    <row r="149" spans="1:35">
      <c r="A149" s="96">
        <v>300373</v>
      </c>
      <c r="B149" s="1286" t="s">
        <v>780</v>
      </c>
      <c r="C149" s="1022"/>
      <c r="D149" s="1358"/>
      <c r="E149" s="1022"/>
      <c r="F149" s="1032">
        <v>1.4238771351394903</v>
      </c>
      <c r="G149" s="390">
        <f t="shared" si="32"/>
        <v>1.354961481798739</v>
      </c>
      <c r="H149" s="390">
        <f t="shared" si="33"/>
        <v>1.3866282940672239</v>
      </c>
      <c r="I149" s="387"/>
      <c r="J149" s="388">
        <f t="shared" si="34"/>
        <v>1.3172968793638626</v>
      </c>
      <c r="K149" s="388">
        <f t="shared" si="35"/>
        <v>1.4559597087705851</v>
      </c>
      <c r="L149" s="1316">
        <v>1.3973487598666294</v>
      </c>
      <c r="M149" s="61" t="b">
        <f t="shared" si="30"/>
        <v>1</v>
      </c>
      <c r="N149" s="857">
        <f t="shared" si="36"/>
        <v>1.3973487598666294</v>
      </c>
      <c r="O149" s="15"/>
      <c r="P149" s="445">
        <f t="shared" si="42"/>
        <v>-6.4806043564730173E-2</v>
      </c>
      <c r="Q149" s="445">
        <f t="shared" ref="Q149:Q212" si="43">$N149*Q$5</f>
        <v>6.7056986589393672E-2</v>
      </c>
      <c r="R149" s="445">
        <f t="shared" si="31"/>
        <v>0</v>
      </c>
      <c r="S149" s="445">
        <f t="shared" si="31"/>
        <v>2.5262044618469068E-3</v>
      </c>
      <c r="T149" s="445">
        <f t="shared" si="31"/>
        <v>5.8506415802079867E-2</v>
      </c>
      <c r="U149" s="445">
        <f t="shared" si="31"/>
        <v>-7.6567694704341429E-3</v>
      </c>
      <c r="V149" s="445">
        <f t="shared" si="31"/>
        <v>-2.8805631250985601E-4</v>
      </c>
      <c r="W149" s="445">
        <f t="shared" si="31"/>
        <v>-2.3817206915568396E-2</v>
      </c>
      <c r="X149" s="445">
        <f t="shared" si="31"/>
        <v>1.879259446012644E-3</v>
      </c>
      <c r="Y149" s="43"/>
      <c r="Z149" s="388">
        <f t="shared" si="38"/>
        <v>1.4307495499027199</v>
      </c>
      <c r="AA149" s="43"/>
      <c r="AB149" s="462">
        <f>IF('TAR_Tab 2_Volumina'!C152="storage",1,0)</f>
        <v>0</v>
      </c>
      <c r="AC149" s="389">
        <f t="shared" si="37"/>
        <v>1.4307495499027199</v>
      </c>
      <c r="AD149" s="389">
        <f t="shared" si="39"/>
        <v>1.5270262995149226</v>
      </c>
      <c r="AE149" s="43"/>
      <c r="AF149" s="1027">
        <f t="shared" si="40"/>
        <v>1.5270262995149226</v>
      </c>
      <c r="AG149" s="392">
        <f t="shared" si="41"/>
        <v>1.5269999999999999</v>
      </c>
      <c r="AH149" s="392">
        <f>AG149+'TAR_Tab 14_Overige tarieven'!$AA$14+'TAR_Tab 14_Overige tarieven'!$AA$15</f>
        <v>1.7069999999999999</v>
      </c>
      <c r="AI149" s="43"/>
    </row>
    <row r="150" spans="1:35">
      <c r="A150" s="96">
        <v>300375</v>
      </c>
      <c r="B150" s="1286" t="s">
        <v>781</v>
      </c>
      <c r="C150" s="1022"/>
      <c r="D150" s="1358"/>
      <c r="E150" s="1022"/>
      <c r="F150" s="1032">
        <v>0.31967606599401921</v>
      </c>
      <c r="G150" s="390">
        <f t="shared" si="32"/>
        <v>0.30420374439990866</v>
      </c>
      <c r="H150" s="390">
        <f t="shared" si="33"/>
        <v>0.31131329178902989</v>
      </c>
      <c r="I150" s="387"/>
      <c r="J150" s="388">
        <f t="shared" si="34"/>
        <v>0.29574762719957837</v>
      </c>
      <c r="K150" s="388">
        <f t="shared" si="35"/>
        <v>0.32687895637848141</v>
      </c>
      <c r="L150" s="1316">
        <v>0.31372015418452842</v>
      </c>
      <c r="M150" s="61" t="b">
        <f t="shared" si="30"/>
        <v>1</v>
      </c>
      <c r="N150" s="857">
        <f t="shared" si="36"/>
        <v>0.31372015418452842</v>
      </c>
      <c r="O150" s="15"/>
      <c r="P150" s="445">
        <f t="shared" si="42"/>
        <v>-1.4549669032630705E-2</v>
      </c>
      <c r="Q150" s="445">
        <f t="shared" si="43"/>
        <v>1.5055030480710009E-2</v>
      </c>
      <c r="R150" s="445">
        <f t="shared" si="31"/>
        <v>0</v>
      </c>
      <c r="S150" s="445">
        <f t="shared" si="31"/>
        <v>5.6716066599429176E-4</v>
      </c>
      <c r="T150" s="445">
        <f t="shared" si="31"/>
        <v>1.3135333363708351E-2</v>
      </c>
      <c r="U150" s="445">
        <f t="shared" si="31"/>
        <v>-1.7190288980177412E-3</v>
      </c>
      <c r="V150" s="445">
        <f t="shared" si="31"/>
        <v>-6.4671808048152591E-5</v>
      </c>
      <c r="W150" s="445">
        <f t="shared" si="31"/>
        <v>-5.3472247161188988E-3</v>
      </c>
      <c r="X150" s="445">
        <f t="shared" si="31"/>
        <v>4.2191439967505972E-4</v>
      </c>
      <c r="Y150" s="43"/>
      <c r="Z150" s="388">
        <f t="shared" si="38"/>
        <v>0.32121899863980063</v>
      </c>
      <c r="AA150" s="43"/>
      <c r="AB150" s="462">
        <f>IF('TAR_Tab 2_Volumina'!C153="storage",1,0)</f>
        <v>0</v>
      </c>
      <c r="AC150" s="389">
        <f t="shared" si="37"/>
        <v>0.32121899863980063</v>
      </c>
      <c r="AD150" s="389">
        <f t="shared" si="39"/>
        <v>0.34283418705962526</v>
      </c>
      <c r="AE150" s="43"/>
      <c r="AF150" s="1027">
        <f t="shared" si="40"/>
        <v>0.34283418705962526</v>
      </c>
      <c r="AG150" s="392">
        <f t="shared" si="41"/>
        <v>0.34300000000000003</v>
      </c>
      <c r="AH150" s="392">
        <f>AG150+'TAR_Tab 14_Overige tarieven'!$AA$14+'TAR_Tab 14_Overige tarieven'!$AA$15</f>
        <v>0.52300000000000002</v>
      </c>
      <c r="AI150" s="43"/>
    </row>
    <row r="151" spans="1:35">
      <c r="A151" s="96">
        <v>300378</v>
      </c>
      <c r="B151" s="1286" t="s">
        <v>782</v>
      </c>
      <c r="C151" s="1022"/>
      <c r="D151" s="1358"/>
      <c r="E151" s="1022"/>
      <c r="F151" s="1032">
        <v>0.78566026791824473</v>
      </c>
      <c r="G151" s="390">
        <f t="shared" si="32"/>
        <v>0.74763431095100163</v>
      </c>
      <c r="H151" s="390">
        <f t="shared" si="33"/>
        <v>0.76510727655806388</v>
      </c>
      <c r="I151" s="387"/>
      <c r="J151" s="388">
        <f t="shared" si="34"/>
        <v>0.7268519127301607</v>
      </c>
      <c r="K151" s="388">
        <f t="shared" si="35"/>
        <v>0.80336264038596705</v>
      </c>
      <c r="L151" s="1316">
        <v>0.77102256505052513</v>
      </c>
      <c r="M151" s="61" t="b">
        <f t="shared" si="30"/>
        <v>1</v>
      </c>
      <c r="N151" s="857">
        <f t="shared" si="36"/>
        <v>0.77102256505052513</v>
      </c>
      <c r="O151" s="15"/>
      <c r="P151" s="445">
        <f t="shared" si="42"/>
        <v>-3.575837570058276E-2</v>
      </c>
      <c r="Q151" s="445">
        <f t="shared" si="43"/>
        <v>3.7000390517860221E-2</v>
      </c>
      <c r="R151" s="445">
        <f t="shared" si="31"/>
        <v>0</v>
      </c>
      <c r="S151" s="445">
        <f t="shared" si="31"/>
        <v>1.3938972860298587E-3</v>
      </c>
      <c r="T151" s="445">
        <f t="shared" si="31"/>
        <v>3.2282396549260697E-2</v>
      </c>
      <c r="U151" s="445">
        <f t="shared" si="31"/>
        <v>-4.2248164571729039E-3</v>
      </c>
      <c r="V151" s="445">
        <f t="shared" si="31"/>
        <v>-1.5894236523424766E-4</v>
      </c>
      <c r="W151" s="445">
        <f t="shared" si="31"/>
        <v>-1.3141747068307679E-2</v>
      </c>
      <c r="X151" s="445">
        <f t="shared" si="31"/>
        <v>1.0369289901530335E-3</v>
      </c>
      <c r="Y151" s="43"/>
      <c r="Z151" s="388">
        <f t="shared" si="38"/>
        <v>0.78945229680253137</v>
      </c>
      <c r="AA151" s="43"/>
      <c r="AB151" s="462">
        <f>IF('TAR_Tab 2_Volumina'!C154="storage",1,0)</f>
        <v>0</v>
      </c>
      <c r="AC151" s="389">
        <f t="shared" si="37"/>
        <v>0.78945229680253137</v>
      </c>
      <c r="AD151" s="389">
        <f t="shared" si="39"/>
        <v>0.84257543153649195</v>
      </c>
      <c r="AE151" s="43"/>
      <c r="AF151" s="1027">
        <f t="shared" si="40"/>
        <v>0.84257543153649195</v>
      </c>
      <c r="AG151" s="392">
        <f t="shared" si="41"/>
        <v>0.84299999999999997</v>
      </c>
      <c r="AH151" s="392">
        <f>AG151+'TAR_Tab 14_Overige tarieven'!$AA$14+'TAR_Tab 14_Overige tarieven'!$AA$15</f>
        <v>1.0230000000000001</v>
      </c>
      <c r="AI151" s="43"/>
    </row>
    <row r="152" spans="1:35">
      <c r="A152" s="96">
        <v>300380</v>
      </c>
      <c r="B152" s="1286" t="s">
        <v>783</v>
      </c>
      <c r="C152" s="1022"/>
      <c r="D152" s="1358"/>
      <c r="E152" s="1022"/>
      <c r="F152" s="1032">
        <v>0.97223015940953927</v>
      </c>
      <c r="G152" s="390">
        <f t="shared" si="32"/>
        <v>0.92517421969411762</v>
      </c>
      <c r="H152" s="390">
        <f t="shared" si="33"/>
        <v>0.9467964714881707</v>
      </c>
      <c r="I152" s="387"/>
      <c r="J152" s="388">
        <f t="shared" si="34"/>
        <v>0.89945664791376212</v>
      </c>
      <c r="K152" s="388">
        <f t="shared" si="35"/>
        <v>0.99413629506257928</v>
      </c>
      <c r="L152" s="1316">
        <v>0.95411645712167803</v>
      </c>
      <c r="M152" s="61" t="b">
        <f t="shared" si="30"/>
        <v>1</v>
      </c>
      <c r="N152" s="857">
        <f t="shared" si="36"/>
        <v>0.95411645712167803</v>
      </c>
      <c r="O152" s="15"/>
      <c r="P152" s="445">
        <f t="shared" si="42"/>
        <v>-4.4249878385375398E-2</v>
      </c>
      <c r="Q152" s="445">
        <f t="shared" si="43"/>
        <v>4.5786833113899771E-2</v>
      </c>
      <c r="R152" s="445">
        <f t="shared" si="31"/>
        <v>0</v>
      </c>
      <c r="S152" s="445">
        <f t="shared" si="31"/>
        <v>1.7249045623602211E-3</v>
      </c>
      <c r="T152" s="445">
        <f t="shared" si="31"/>
        <v>3.9948462235938974E-2</v>
      </c>
      <c r="U152" s="445">
        <f t="shared" si="31"/>
        <v>-5.2280790379241639E-3</v>
      </c>
      <c r="V152" s="445">
        <f t="shared" si="31"/>
        <v>-1.9668623627623993E-4</v>
      </c>
      <c r="W152" s="445">
        <f t="shared" si="31"/>
        <v>-1.6262503487665444E-2</v>
      </c>
      <c r="X152" s="445">
        <f t="shared" si="31"/>
        <v>1.2831673925220845E-3</v>
      </c>
      <c r="Y152" s="43"/>
      <c r="Z152" s="388">
        <f t="shared" si="38"/>
        <v>0.97692267727915783</v>
      </c>
      <c r="AA152" s="43"/>
      <c r="AB152" s="462">
        <f>IF('TAR_Tab 2_Volumina'!C155="storage",1,0)</f>
        <v>0</v>
      </c>
      <c r="AC152" s="389">
        <f t="shared" si="37"/>
        <v>0.97692267727915783</v>
      </c>
      <c r="AD152" s="389">
        <f t="shared" si="39"/>
        <v>1.042660905187238</v>
      </c>
      <c r="AE152" s="43"/>
      <c r="AF152" s="1027">
        <f t="shared" si="40"/>
        <v>1.042660905187238</v>
      </c>
      <c r="AG152" s="392">
        <f t="shared" si="41"/>
        <v>1.0429999999999999</v>
      </c>
      <c r="AH152" s="392">
        <f>AG152+'TAR_Tab 14_Overige tarieven'!$AA$14+'TAR_Tab 14_Overige tarieven'!$AA$15</f>
        <v>1.2229999999999999</v>
      </c>
      <c r="AI152" s="43"/>
    </row>
    <row r="153" spans="1:35">
      <c r="A153" s="96">
        <v>300382</v>
      </c>
      <c r="B153" s="1286" t="s">
        <v>784</v>
      </c>
      <c r="C153" s="1022"/>
      <c r="D153" s="1358"/>
      <c r="E153" s="1022"/>
      <c r="F153" s="1032">
        <v>0.31967606599401921</v>
      </c>
      <c r="G153" s="390">
        <f t="shared" si="32"/>
        <v>0.30420374439990866</v>
      </c>
      <c r="H153" s="390">
        <f t="shared" si="33"/>
        <v>0.31131329178902989</v>
      </c>
      <c r="I153" s="387"/>
      <c r="J153" s="388">
        <f t="shared" si="34"/>
        <v>0.29574762719957837</v>
      </c>
      <c r="K153" s="388">
        <f t="shared" si="35"/>
        <v>0.32687895637848141</v>
      </c>
      <c r="L153" s="1316">
        <v>0.31752937940144904</v>
      </c>
      <c r="M153" s="61" t="b">
        <f t="shared" si="30"/>
        <v>1</v>
      </c>
      <c r="N153" s="857">
        <f t="shared" si="36"/>
        <v>0.31752937940144904</v>
      </c>
      <c r="O153" s="15"/>
      <c r="P153" s="445">
        <f t="shared" si="42"/>
        <v>-1.4726332742110926E-2</v>
      </c>
      <c r="Q153" s="445">
        <f t="shared" si="43"/>
        <v>1.5237830345441994E-2</v>
      </c>
      <c r="R153" s="445">
        <f t="shared" si="31"/>
        <v>0</v>
      </c>
      <c r="S153" s="445">
        <f t="shared" si="31"/>
        <v>5.7404719426521757E-4</v>
      </c>
      <c r="T153" s="445">
        <f t="shared" si="31"/>
        <v>1.3294824051234489E-2</v>
      </c>
      <c r="U153" s="445">
        <f t="shared" si="31"/>
        <v>-1.7399015392542136E-3</v>
      </c>
      <c r="V153" s="445">
        <f t="shared" si="31"/>
        <v>-6.545706037815104E-5</v>
      </c>
      <c r="W153" s="445">
        <f t="shared" si="31"/>
        <v>-5.4121513169683956E-3</v>
      </c>
      <c r="X153" s="445">
        <f t="shared" si="31"/>
        <v>4.2703733152749926E-4</v>
      </c>
      <c r="Y153" s="43"/>
      <c r="Z153" s="388">
        <f t="shared" si="38"/>
        <v>0.32511927566520654</v>
      </c>
      <c r="AA153" s="43"/>
      <c r="AB153" s="462">
        <f>IF('TAR_Tab 2_Volumina'!C156="storage",1,0)</f>
        <v>0</v>
      </c>
      <c r="AC153" s="389">
        <f t="shared" si="37"/>
        <v>0.32511927566520654</v>
      </c>
      <c r="AD153" s="389">
        <f t="shared" si="39"/>
        <v>0.34699691812153166</v>
      </c>
      <c r="AE153" s="43"/>
      <c r="AF153" s="1027">
        <f t="shared" si="40"/>
        <v>0.34699691812153166</v>
      </c>
      <c r="AG153" s="392">
        <f t="shared" si="41"/>
        <v>0.34699999999999998</v>
      </c>
      <c r="AH153" s="392">
        <f>AG153+'TAR_Tab 14_Overige tarieven'!$AA$14+'TAR_Tab 14_Overige tarieven'!$AA$15</f>
        <v>0.52699999999999991</v>
      </c>
      <c r="AI153" s="43"/>
    </row>
    <row r="154" spans="1:35">
      <c r="A154" s="96">
        <v>300394</v>
      </c>
      <c r="B154" s="1286" t="s">
        <v>99</v>
      </c>
      <c r="C154" s="1022"/>
      <c r="D154" s="1358"/>
      <c r="E154" s="1022"/>
      <c r="F154" s="1032">
        <v>1.1033067764395352</v>
      </c>
      <c r="G154" s="390">
        <f t="shared" si="32"/>
        <v>1.0499067284598618</v>
      </c>
      <c r="H154" s="390">
        <f t="shared" si="33"/>
        <v>1.0744441044046165</v>
      </c>
      <c r="I154" s="387"/>
      <c r="J154" s="388">
        <f t="shared" si="34"/>
        <v>1.0207218991843856</v>
      </c>
      <c r="K154" s="388">
        <f t="shared" si="35"/>
        <v>1.1281663096248473</v>
      </c>
      <c r="L154" s="1316">
        <v>1.0827509746191688</v>
      </c>
      <c r="M154" s="61" t="b">
        <f t="shared" si="30"/>
        <v>1</v>
      </c>
      <c r="N154" s="857">
        <f t="shared" si="36"/>
        <v>1.0827509746191688</v>
      </c>
      <c r="O154" s="15"/>
      <c r="P154" s="445">
        <f t="shared" si="42"/>
        <v>-5.0215671882530746E-2</v>
      </c>
      <c r="Q154" s="445">
        <f t="shared" si="43"/>
        <v>5.1959839712184985E-2</v>
      </c>
      <c r="R154" s="445">
        <f t="shared" si="31"/>
        <v>0</v>
      </c>
      <c r="S154" s="445">
        <f t="shared" si="31"/>
        <v>1.9574571658210068E-3</v>
      </c>
      <c r="T154" s="445">
        <f t="shared" si="31"/>
        <v>4.5334336388019966E-2</v>
      </c>
      <c r="U154" s="445">
        <f t="shared" si="31"/>
        <v>-5.9329315949284873E-3</v>
      </c>
      <c r="V154" s="445">
        <f t="shared" si="31"/>
        <v>-2.2320358529893369E-4</v>
      </c>
      <c r="W154" s="445">
        <f t="shared" si="31"/>
        <v>-1.8455023356516553E-2</v>
      </c>
      <c r="X154" s="445">
        <f t="shared" si="31"/>
        <v>1.4561647422413565E-3</v>
      </c>
      <c r="Y154" s="43"/>
      <c r="Z154" s="388">
        <f t="shared" si="38"/>
        <v>1.1086319422081614</v>
      </c>
      <c r="AA154" s="43"/>
      <c r="AB154" s="462">
        <f>IF('TAR_Tab 2_Volumina'!C157="storage",1,0)</f>
        <v>0</v>
      </c>
      <c r="AC154" s="389">
        <f t="shared" si="37"/>
        <v>1.1086319422081614</v>
      </c>
      <c r="AD154" s="389">
        <f t="shared" si="39"/>
        <v>1.1832330349845472</v>
      </c>
      <c r="AE154" s="43"/>
      <c r="AF154" s="1027">
        <f t="shared" si="40"/>
        <v>1.1832330349845472</v>
      </c>
      <c r="AG154" s="392">
        <f t="shared" si="41"/>
        <v>1.1830000000000001</v>
      </c>
      <c r="AH154" s="392">
        <f>AG154+'TAR_Tab 14_Overige tarieven'!$AA$14+'TAR_Tab 14_Overige tarieven'!$AA$15</f>
        <v>1.363</v>
      </c>
      <c r="AI154" s="43"/>
    </row>
    <row r="155" spans="1:35">
      <c r="A155" s="96">
        <v>300400</v>
      </c>
      <c r="B155" s="1286" t="s">
        <v>109</v>
      </c>
      <c r="C155" s="1022"/>
      <c r="D155" s="1358"/>
      <c r="E155" s="1022"/>
      <c r="F155" s="1032">
        <v>1.0438347116284923</v>
      </c>
      <c r="G155" s="390">
        <f t="shared" si="32"/>
        <v>0.99331311158567326</v>
      </c>
      <c r="H155" s="390">
        <f t="shared" si="33"/>
        <v>1.016527837798149</v>
      </c>
      <c r="I155" s="387"/>
      <c r="J155" s="388">
        <f t="shared" si="34"/>
        <v>0.96570144590824158</v>
      </c>
      <c r="K155" s="388">
        <f t="shared" si="35"/>
        <v>1.0673542296880565</v>
      </c>
      <c r="L155" s="1316">
        <v>1.0243869388751177</v>
      </c>
      <c r="M155" s="61" t="b">
        <f t="shared" si="30"/>
        <v>1</v>
      </c>
      <c r="N155" s="857">
        <f t="shared" si="36"/>
        <v>1.0243869388751177</v>
      </c>
      <c r="O155" s="15"/>
      <c r="P155" s="445">
        <f t="shared" si="42"/>
        <v>-4.7508872870233018E-2</v>
      </c>
      <c r="Q155" s="445">
        <f t="shared" si="43"/>
        <v>4.9159023999889022E-2</v>
      </c>
      <c r="R155" s="445">
        <f t="shared" si="31"/>
        <v>0</v>
      </c>
      <c r="S155" s="445">
        <f t="shared" si="31"/>
        <v>1.851943430279361E-3</v>
      </c>
      <c r="T155" s="445">
        <f t="shared" si="31"/>
        <v>4.2890658301917239E-2</v>
      </c>
      <c r="U155" s="445">
        <f t="shared" si="31"/>
        <v>-5.6131259888469887E-3</v>
      </c>
      <c r="V155" s="445">
        <f t="shared" si="31"/>
        <v>-2.1117213731508932E-4</v>
      </c>
      <c r="W155" s="445">
        <f t="shared" si="31"/>
        <v>-1.7460233540496414E-2</v>
      </c>
      <c r="X155" s="445">
        <f t="shared" si="31"/>
        <v>1.3776724083089914E-3</v>
      </c>
      <c r="Y155" s="43"/>
      <c r="Z155" s="388">
        <f t="shared" si="38"/>
        <v>1.0488728324786207</v>
      </c>
      <c r="AA155" s="43"/>
      <c r="AB155" s="462">
        <f>IF('TAR_Tab 2_Volumina'!C158="storage",1,0)</f>
        <v>0</v>
      </c>
      <c r="AC155" s="389">
        <f t="shared" si="37"/>
        <v>1.0488728324786207</v>
      </c>
      <c r="AD155" s="389">
        <f t="shared" si="39"/>
        <v>1.1194526674151071</v>
      </c>
      <c r="AE155" s="43"/>
      <c r="AF155" s="1027">
        <f t="shared" si="40"/>
        <v>1.1194526674151071</v>
      </c>
      <c r="AG155" s="392">
        <f t="shared" si="41"/>
        <v>1.119</v>
      </c>
      <c r="AH155" s="392">
        <f>AG155+'TAR_Tab 14_Overige tarieven'!$AA$14+'TAR_Tab 14_Overige tarieven'!$AA$15</f>
        <v>1.2989999999999999</v>
      </c>
      <c r="AI155" s="43"/>
    </row>
    <row r="156" spans="1:35">
      <c r="A156" s="96">
        <v>300405</v>
      </c>
      <c r="B156" s="1286" t="s">
        <v>110</v>
      </c>
      <c r="C156" s="1022"/>
      <c r="D156" s="1358"/>
      <c r="E156" s="1022"/>
      <c r="F156" s="1032">
        <v>1.225063046625098</v>
      </c>
      <c r="G156" s="390">
        <f t="shared" si="32"/>
        <v>1.1657699951684433</v>
      </c>
      <c r="H156" s="390">
        <f t="shared" si="33"/>
        <v>1.1930152121588367</v>
      </c>
      <c r="I156" s="387"/>
      <c r="J156" s="388">
        <f t="shared" si="34"/>
        <v>1.1333644515508947</v>
      </c>
      <c r="K156" s="388">
        <f t="shared" si="35"/>
        <v>1.2526659727667786</v>
      </c>
      <c r="L156" s="1316">
        <v>1.2022387934421848</v>
      </c>
      <c r="M156" s="61" t="b">
        <f t="shared" si="30"/>
        <v>1</v>
      </c>
      <c r="N156" s="857">
        <f t="shared" si="36"/>
        <v>1.2022387934421848</v>
      </c>
      <c r="O156" s="15"/>
      <c r="P156" s="445">
        <f t="shared" si="42"/>
        <v>-5.5757261079516937E-2</v>
      </c>
      <c r="Q156" s="445">
        <f t="shared" si="43"/>
        <v>5.7693907895117094E-2</v>
      </c>
      <c r="R156" s="445">
        <f t="shared" si="31"/>
        <v>0</v>
      </c>
      <c r="S156" s="445">
        <f t="shared" si="31"/>
        <v>2.1734738609486197E-3</v>
      </c>
      <c r="T156" s="445">
        <f t="shared" si="31"/>
        <v>5.0337242042017324E-2</v>
      </c>
      <c r="U156" s="445">
        <f t="shared" si="31"/>
        <v>-6.5876648365711509E-3</v>
      </c>
      <c r="V156" s="445">
        <f t="shared" si="31"/>
        <v>-2.4783538908948412E-4</v>
      </c>
      <c r="W156" s="445">
        <f t="shared" si="31"/>
        <v>-2.0491641691562233E-2</v>
      </c>
      <c r="X156" s="445">
        <f t="shared" si="31"/>
        <v>1.6168609253674876E-3</v>
      </c>
      <c r="Y156" s="43"/>
      <c r="Z156" s="388">
        <f t="shared" si="38"/>
        <v>1.2309758751688955</v>
      </c>
      <c r="AA156" s="43"/>
      <c r="AB156" s="462">
        <f>IF('TAR_Tab 2_Volumina'!C159="storage",1,0)</f>
        <v>0</v>
      </c>
      <c r="AC156" s="389">
        <f t="shared" si="37"/>
        <v>1.2309758751688955</v>
      </c>
      <c r="AD156" s="389">
        <f t="shared" si="39"/>
        <v>1.3138096290710763</v>
      </c>
      <c r="AE156" s="43"/>
      <c r="AF156" s="1027">
        <f t="shared" si="40"/>
        <v>1.3138096290710763</v>
      </c>
      <c r="AG156" s="392">
        <f t="shared" si="41"/>
        <v>1.3140000000000001</v>
      </c>
      <c r="AH156" s="392">
        <f>AG156+'TAR_Tab 14_Overige tarieven'!$AA$14+'TAR_Tab 14_Overige tarieven'!$AA$15</f>
        <v>1.494</v>
      </c>
      <c r="AI156" s="43"/>
    </row>
    <row r="157" spans="1:35">
      <c r="A157" s="96">
        <v>300406</v>
      </c>
      <c r="B157" s="1286" t="s">
        <v>111</v>
      </c>
      <c r="C157" s="1022"/>
      <c r="D157" s="1358"/>
      <c r="E157" s="1022"/>
      <c r="F157" s="1032">
        <v>1.4238771351394903</v>
      </c>
      <c r="G157" s="390">
        <f t="shared" si="32"/>
        <v>1.354961481798739</v>
      </c>
      <c r="H157" s="390">
        <f t="shared" si="33"/>
        <v>1.3866282940672239</v>
      </c>
      <c r="I157" s="387"/>
      <c r="J157" s="388">
        <f t="shared" si="34"/>
        <v>1.3172968793638626</v>
      </c>
      <c r="K157" s="388">
        <f t="shared" si="35"/>
        <v>1.4559597087705851</v>
      </c>
      <c r="L157" s="1316">
        <v>1.3973487598666294</v>
      </c>
      <c r="M157" s="61" t="b">
        <f t="shared" si="30"/>
        <v>1</v>
      </c>
      <c r="N157" s="857">
        <f t="shared" si="36"/>
        <v>1.3973487598666294</v>
      </c>
      <c r="O157" s="15"/>
      <c r="P157" s="445">
        <f t="shared" si="42"/>
        <v>-6.4806043564730173E-2</v>
      </c>
      <c r="Q157" s="445">
        <f t="shared" si="43"/>
        <v>6.7056986589393672E-2</v>
      </c>
      <c r="R157" s="445">
        <f t="shared" si="31"/>
        <v>0</v>
      </c>
      <c r="S157" s="445">
        <f t="shared" si="31"/>
        <v>2.5262044618469068E-3</v>
      </c>
      <c r="T157" s="445">
        <f t="shared" si="31"/>
        <v>5.8506415802079867E-2</v>
      </c>
      <c r="U157" s="445">
        <f t="shared" si="31"/>
        <v>-7.6567694704341429E-3</v>
      </c>
      <c r="V157" s="445">
        <f t="shared" si="31"/>
        <v>-2.8805631250985601E-4</v>
      </c>
      <c r="W157" s="445">
        <f t="shared" ref="R157:X194" si="44">$N157*W$5</f>
        <v>-2.3817206915568396E-2</v>
      </c>
      <c r="X157" s="445">
        <f t="shared" si="44"/>
        <v>1.879259446012644E-3</v>
      </c>
      <c r="Y157" s="43"/>
      <c r="Z157" s="388">
        <f t="shared" si="38"/>
        <v>1.4307495499027199</v>
      </c>
      <c r="AA157" s="43"/>
      <c r="AB157" s="462">
        <f>IF('TAR_Tab 2_Volumina'!C160="storage",1,0)</f>
        <v>0</v>
      </c>
      <c r="AC157" s="389">
        <f t="shared" si="37"/>
        <v>1.4307495499027199</v>
      </c>
      <c r="AD157" s="389">
        <f t="shared" si="39"/>
        <v>1.5270262995149226</v>
      </c>
      <c r="AE157" s="43"/>
      <c r="AF157" s="1027">
        <f t="shared" si="40"/>
        <v>1.5270262995149226</v>
      </c>
      <c r="AG157" s="392">
        <f t="shared" si="41"/>
        <v>1.5269999999999999</v>
      </c>
      <c r="AH157" s="392">
        <f>AG157+'TAR_Tab 14_Overige tarieven'!$AA$14+'TAR_Tab 14_Overige tarieven'!$AA$15</f>
        <v>1.7069999999999999</v>
      </c>
      <c r="AI157" s="43"/>
    </row>
    <row r="158" spans="1:35">
      <c r="A158" s="96">
        <v>300407</v>
      </c>
      <c r="B158" s="1286" t="s">
        <v>112</v>
      </c>
      <c r="C158" s="1022"/>
      <c r="D158" s="1358"/>
      <c r="E158" s="1022"/>
      <c r="F158" s="1032">
        <v>1.3518833474077181</v>
      </c>
      <c r="G158" s="390">
        <f t="shared" si="32"/>
        <v>1.2864521933931845</v>
      </c>
      <c r="H158" s="390">
        <f t="shared" si="33"/>
        <v>1.3165178747042741</v>
      </c>
      <c r="I158" s="387"/>
      <c r="J158" s="388">
        <f t="shared" si="34"/>
        <v>1.2506919809690602</v>
      </c>
      <c r="K158" s="388">
        <f t="shared" si="35"/>
        <v>1.3823437684394879</v>
      </c>
      <c r="L158" s="1316">
        <v>1.3266962944801142</v>
      </c>
      <c r="M158" s="61" t="b">
        <f t="shared" si="30"/>
        <v>1</v>
      </c>
      <c r="N158" s="857">
        <f t="shared" si="36"/>
        <v>1.3266962944801142</v>
      </c>
      <c r="O158" s="15"/>
      <c r="P158" s="445">
        <f t="shared" si="42"/>
        <v>-6.1529333496850552E-2</v>
      </c>
      <c r="Q158" s="445">
        <f t="shared" si="43"/>
        <v>6.3666464795547911E-2</v>
      </c>
      <c r="R158" s="445">
        <f t="shared" si="44"/>
        <v>0</v>
      </c>
      <c r="S158" s="445">
        <f t="shared" si="44"/>
        <v>2.3984750227647594E-3</v>
      </c>
      <c r="T158" s="445">
        <f t="shared" si="44"/>
        <v>5.5548226239053346E-2</v>
      </c>
      <c r="U158" s="445">
        <f t="shared" si="44"/>
        <v>-7.2696294410301678E-3</v>
      </c>
      <c r="V158" s="445">
        <f t="shared" si="44"/>
        <v>-2.7349166749531266E-4</v>
      </c>
      <c r="W158" s="445">
        <f t="shared" si="44"/>
        <v>-2.2612966116466616E-2</v>
      </c>
      <c r="X158" s="445">
        <f t="shared" si="44"/>
        <v>1.7842407099782965E-3</v>
      </c>
      <c r="Y158" s="43"/>
      <c r="Z158" s="388">
        <f t="shared" si="38"/>
        <v>1.3584082805256159</v>
      </c>
      <c r="AA158" s="43"/>
      <c r="AB158" s="462">
        <f>IF('TAR_Tab 2_Volumina'!C161="storage",1,0)</f>
        <v>0</v>
      </c>
      <c r="AC158" s="389">
        <f t="shared" si="37"/>
        <v>1.3584082805256159</v>
      </c>
      <c r="AD158" s="389">
        <f t="shared" si="39"/>
        <v>1.4498171045956285</v>
      </c>
      <c r="AE158" s="43"/>
      <c r="AF158" s="1027">
        <f t="shared" si="40"/>
        <v>1.4498171045956285</v>
      </c>
      <c r="AG158" s="392">
        <f t="shared" si="41"/>
        <v>1.45</v>
      </c>
      <c r="AH158" s="392">
        <f>AG158+'TAR_Tab 14_Overige tarieven'!$AA$14+'TAR_Tab 14_Overige tarieven'!$AA$15</f>
        <v>1.63</v>
      </c>
      <c r="AI158" s="43"/>
    </row>
    <row r="159" spans="1:35">
      <c r="A159" s="96">
        <v>300412</v>
      </c>
      <c r="B159" s="1286" t="s">
        <v>113</v>
      </c>
      <c r="C159" s="1022"/>
      <c r="D159" s="1358"/>
      <c r="E159" s="1022"/>
      <c r="F159" s="1032">
        <v>1.1638995683303135</v>
      </c>
      <c r="G159" s="390">
        <f t="shared" si="32"/>
        <v>1.1075668292231262</v>
      </c>
      <c r="H159" s="390">
        <f t="shared" si="33"/>
        <v>1.1334517797010168</v>
      </c>
      <c r="I159" s="387"/>
      <c r="J159" s="388">
        <f t="shared" si="34"/>
        <v>1.0767791907159661</v>
      </c>
      <c r="K159" s="388">
        <f t="shared" si="35"/>
        <v>1.1901243686860676</v>
      </c>
      <c r="L159" s="1316">
        <v>1.1422148570819917</v>
      </c>
      <c r="M159" s="61" t="b">
        <f t="shared" si="30"/>
        <v>1</v>
      </c>
      <c r="N159" s="857">
        <f t="shared" si="36"/>
        <v>1.1422148570819917</v>
      </c>
      <c r="O159" s="15"/>
      <c r="P159" s="445">
        <f t="shared" si="42"/>
        <v>-5.2973479430720435E-2</v>
      </c>
      <c r="Q159" s="445">
        <f t="shared" si="43"/>
        <v>5.4813435667172901E-2</v>
      </c>
      <c r="R159" s="445">
        <f t="shared" si="44"/>
        <v>0</v>
      </c>
      <c r="S159" s="445">
        <f t="shared" si="44"/>
        <v>2.0649592651613754E-3</v>
      </c>
      <c r="T159" s="445">
        <f t="shared" si="44"/>
        <v>4.78240646022619E-2</v>
      </c>
      <c r="U159" s="445">
        <f t="shared" si="44"/>
        <v>-6.2587638086975695E-3</v>
      </c>
      <c r="V159" s="445">
        <f t="shared" si="44"/>
        <v>-2.3546176106844962E-4</v>
      </c>
      <c r="W159" s="445">
        <f t="shared" si="44"/>
        <v>-1.9468559585478652E-2</v>
      </c>
      <c r="X159" s="445">
        <f t="shared" si="44"/>
        <v>1.5361362325552789E-3</v>
      </c>
      <c r="Y159" s="43"/>
      <c r="Z159" s="388">
        <f t="shared" si="38"/>
        <v>1.1695171882631781</v>
      </c>
      <c r="AA159" s="43"/>
      <c r="AB159" s="462">
        <f>IF('TAR_Tab 2_Volumina'!C162="storage",1,0)</f>
        <v>0</v>
      </c>
      <c r="AC159" s="389">
        <f t="shared" si="37"/>
        <v>1.1695171882631781</v>
      </c>
      <c r="AD159" s="389">
        <f t="shared" si="39"/>
        <v>1.2482153178619169</v>
      </c>
      <c r="AE159" s="43"/>
      <c r="AF159" s="1027">
        <f t="shared" si="40"/>
        <v>1.2482153178619169</v>
      </c>
      <c r="AG159" s="392">
        <f t="shared" si="41"/>
        <v>1.248</v>
      </c>
      <c r="AH159" s="392">
        <f>AG159+'TAR_Tab 14_Overige tarieven'!$AA$14+'TAR_Tab 14_Overige tarieven'!$AA$15</f>
        <v>1.4279999999999999</v>
      </c>
      <c r="AI159" s="43"/>
    </row>
    <row r="160" spans="1:35">
      <c r="A160" s="96">
        <v>300420</v>
      </c>
      <c r="B160" s="1286" t="s">
        <v>114</v>
      </c>
      <c r="C160" s="1022"/>
      <c r="D160" s="1358"/>
      <c r="E160" s="1022"/>
      <c r="F160" s="1032">
        <v>1.1698990506412945</v>
      </c>
      <c r="G160" s="390">
        <f t="shared" si="32"/>
        <v>1.1132759365902558</v>
      </c>
      <c r="H160" s="390">
        <f t="shared" si="33"/>
        <v>1.1392943146479295</v>
      </c>
      <c r="I160" s="387"/>
      <c r="J160" s="388">
        <f t="shared" si="34"/>
        <v>1.082329598915533</v>
      </c>
      <c r="K160" s="388">
        <f t="shared" si="35"/>
        <v>1.196259030380326</v>
      </c>
      <c r="L160" s="1316">
        <v>1.1481025625308681</v>
      </c>
      <c r="M160" s="61" t="b">
        <f t="shared" si="30"/>
        <v>1</v>
      </c>
      <c r="N160" s="857">
        <f t="shared" si="36"/>
        <v>1.1481025625308681</v>
      </c>
      <c r="O160" s="15"/>
      <c r="P160" s="445">
        <f t="shared" si="42"/>
        <v>-5.3246538603043743E-2</v>
      </c>
      <c r="Q160" s="445">
        <f t="shared" si="43"/>
        <v>5.5095979149993382E-2</v>
      </c>
      <c r="R160" s="445">
        <f t="shared" si="44"/>
        <v>0</v>
      </c>
      <c r="S160" s="445">
        <f t="shared" si="44"/>
        <v>2.0756033850848881E-3</v>
      </c>
      <c r="T160" s="445">
        <f t="shared" si="44"/>
        <v>4.807058039918078E-2</v>
      </c>
      <c r="U160" s="445">
        <f t="shared" si="44"/>
        <v>-6.2910254778145687E-3</v>
      </c>
      <c r="V160" s="445">
        <f t="shared" si="44"/>
        <v>-2.3667548148632826E-4</v>
      </c>
      <c r="W160" s="445">
        <f t="shared" si="44"/>
        <v>-1.9568912985403804E-2</v>
      </c>
      <c r="X160" s="445">
        <f t="shared" si="44"/>
        <v>1.5440544605581413E-3</v>
      </c>
      <c r="Y160" s="43"/>
      <c r="Z160" s="388">
        <f t="shared" si="38"/>
        <v>1.1755456273779368</v>
      </c>
      <c r="AA160" s="43"/>
      <c r="AB160" s="462">
        <f>IF('TAR_Tab 2_Volumina'!C163="storage",1,0)</f>
        <v>0</v>
      </c>
      <c r="AC160" s="389">
        <f t="shared" si="37"/>
        <v>1.1755456273779368</v>
      </c>
      <c r="AD160" s="389">
        <f t="shared" si="39"/>
        <v>1.2546494174385248</v>
      </c>
      <c r="AE160" s="43"/>
      <c r="AF160" s="1027">
        <f t="shared" si="40"/>
        <v>1.2546494174385248</v>
      </c>
      <c r="AG160" s="392">
        <f t="shared" si="41"/>
        <v>1.2549999999999999</v>
      </c>
      <c r="AH160" s="392">
        <f>AG160+'TAR_Tab 14_Overige tarieven'!$AA$14+'TAR_Tab 14_Overige tarieven'!$AA$15</f>
        <v>1.4349999999999998</v>
      </c>
      <c r="AI160" s="43"/>
    </row>
    <row r="161" spans="1:35">
      <c r="A161" s="96">
        <v>300423</v>
      </c>
      <c r="B161" s="1286" t="s">
        <v>785</v>
      </c>
      <c r="C161" s="1022"/>
      <c r="D161" s="1358"/>
      <c r="E161" s="1022"/>
      <c r="F161" s="1032">
        <v>1.3070713993330594</v>
      </c>
      <c r="G161" s="390">
        <f t="shared" si="32"/>
        <v>1.2438091436053393</v>
      </c>
      <c r="H161" s="390">
        <f t="shared" si="33"/>
        <v>1.2728782139645112</v>
      </c>
      <c r="I161" s="387"/>
      <c r="J161" s="388">
        <f t="shared" si="34"/>
        <v>1.2092343032662856</v>
      </c>
      <c r="K161" s="388">
        <f t="shared" si="35"/>
        <v>1.3365221246627368</v>
      </c>
      <c r="L161" s="1316">
        <v>1.2827192415982323</v>
      </c>
      <c r="M161" s="61" t="b">
        <f t="shared" si="30"/>
        <v>1</v>
      </c>
      <c r="N161" s="857">
        <f t="shared" si="36"/>
        <v>1.2827192415982323</v>
      </c>
      <c r="O161" s="15"/>
      <c r="P161" s="445">
        <f t="shared" si="42"/>
        <v>-5.9489771945170564E-2</v>
      </c>
      <c r="Q161" s="445">
        <f t="shared" si="43"/>
        <v>6.1556062059996849E-2</v>
      </c>
      <c r="R161" s="445">
        <f t="shared" si="44"/>
        <v>0</v>
      </c>
      <c r="S161" s="445">
        <f t="shared" si="44"/>
        <v>2.3189708714749331E-3</v>
      </c>
      <c r="T161" s="445">
        <f t="shared" si="44"/>
        <v>5.3706925186978831E-2</v>
      </c>
      <c r="U161" s="445">
        <f t="shared" si="44"/>
        <v>-7.028657276044098E-3</v>
      </c>
      <c r="V161" s="445">
        <f t="shared" si="44"/>
        <v>-2.6442602257398685E-4</v>
      </c>
      <c r="W161" s="445">
        <f t="shared" si="44"/>
        <v>-2.1863396218022191E-2</v>
      </c>
      <c r="X161" s="445">
        <f t="shared" si="44"/>
        <v>1.7250970699582042E-3</v>
      </c>
      <c r="Y161" s="43"/>
      <c r="Z161" s="388">
        <f t="shared" si="38"/>
        <v>1.3133800453248303</v>
      </c>
      <c r="AA161" s="43"/>
      <c r="AB161" s="462">
        <f>IF('TAR_Tab 2_Volumina'!C164="storage",1,0)</f>
        <v>0</v>
      </c>
      <c r="AC161" s="389">
        <f t="shared" si="37"/>
        <v>1.3133800453248303</v>
      </c>
      <c r="AD161" s="389">
        <f t="shared" si="39"/>
        <v>1.4017588687031075</v>
      </c>
      <c r="AE161" s="43"/>
      <c r="AF161" s="1027">
        <f t="shared" si="40"/>
        <v>1.4017588687031075</v>
      </c>
      <c r="AG161" s="392">
        <f t="shared" si="41"/>
        <v>1.4019999999999999</v>
      </c>
      <c r="AH161" s="392">
        <f>AG161+'TAR_Tab 14_Overige tarieven'!$AA$14+'TAR_Tab 14_Overige tarieven'!$AA$15</f>
        <v>1.5819999999999999</v>
      </c>
      <c r="AI161" s="43"/>
    </row>
    <row r="162" spans="1:35">
      <c r="A162" s="96">
        <v>300428</v>
      </c>
      <c r="B162" s="1286" t="s">
        <v>375</v>
      </c>
      <c r="C162" s="1022"/>
      <c r="D162" s="1358"/>
      <c r="E162" s="1022"/>
      <c r="F162" s="1032">
        <v>1.1023637791947152</v>
      </c>
      <c r="G162" s="390">
        <f t="shared" si="32"/>
        <v>1.0490093722816909</v>
      </c>
      <c r="H162" s="390">
        <f t="shared" si="33"/>
        <v>1.0735257761102535</v>
      </c>
      <c r="I162" s="387"/>
      <c r="J162" s="388">
        <f t="shared" si="34"/>
        <v>1.0198494873047408</v>
      </c>
      <c r="K162" s="388">
        <f t="shared" si="35"/>
        <v>1.1272020649157661</v>
      </c>
      <c r="L162" s="1316">
        <v>1.0818255464357336</v>
      </c>
      <c r="M162" s="61" t="b">
        <f t="shared" si="30"/>
        <v>1</v>
      </c>
      <c r="N162" s="857">
        <f t="shared" si="36"/>
        <v>1.0818255464357336</v>
      </c>
      <c r="O162" s="15"/>
      <c r="P162" s="445">
        <f t="shared" si="42"/>
        <v>-5.0172752504853368E-2</v>
      </c>
      <c r="Q162" s="445">
        <f t="shared" si="43"/>
        <v>5.1915429592772858E-2</v>
      </c>
      <c r="R162" s="445">
        <f t="shared" si="44"/>
        <v>0</v>
      </c>
      <c r="S162" s="445">
        <f t="shared" si="44"/>
        <v>1.9557841255083393E-3</v>
      </c>
      <c r="T162" s="445">
        <f t="shared" si="44"/>
        <v>4.5295589091961831E-2</v>
      </c>
      <c r="U162" s="445">
        <f t="shared" si="44"/>
        <v>-5.9278607132234196E-3</v>
      </c>
      <c r="V162" s="445">
        <f t="shared" si="44"/>
        <v>-2.2301281300380639E-4</v>
      </c>
      <c r="W162" s="445">
        <f t="shared" si="44"/>
        <v>-1.8439249832280215E-2</v>
      </c>
      <c r="X162" s="445">
        <f t="shared" si="44"/>
        <v>1.4549201569915775E-3</v>
      </c>
      <c r="Y162" s="43"/>
      <c r="Z162" s="388">
        <f t="shared" si="38"/>
        <v>1.1076843935396075</v>
      </c>
      <c r="AA162" s="43"/>
      <c r="AB162" s="462">
        <f>IF('TAR_Tab 2_Volumina'!C165="storage",1,0)</f>
        <v>0</v>
      </c>
      <c r="AC162" s="389">
        <f t="shared" si="37"/>
        <v>1.1076843935396075</v>
      </c>
      <c r="AD162" s="389">
        <f t="shared" si="39"/>
        <v>1.1822217246982358</v>
      </c>
      <c r="AE162" s="43"/>
      <c r="AF162" s="1027">
        <f t="shared" si="40"/>
        <v>1.1822217246982358</v>
      </c>
      <c r="AG162" s="392">
        <f t="shared" si="41"/>
        <v>1.1819999999999999</v>
      </c>
      <c r="AH162" s="392">
        <f>AG162+'TAR_Tab 14_Overige tarieven'!$AA$14+'TAR_Tab 14_Overige tarieven'!$AA$15</f>
        <v>1.3619999999999999</v>
      </c>
      <c r="AI162" s="43"/>
    </row>
    <row r="163" spans="1:35">
      <c r="A163" s="96">
        <v>300436</v>
      </c>
      <c r="B163" s="1286" t="s">
        <v>115</v>
      </c>
      <c r="C163" s="1022"/>
      <c r="D163" s="1358"/>
      <c r="E163" s="1022"/>
      <c r="F163" s="1032">
        <v>1.4417270895819332</v>
      </c>
      <c r="G163" s="390">
        <f t="shared" si="32"/>
        <v>1.3719474984461677</v>
      </c>
      <c r="H163" s="390">
        <f t="shared" si="33"/>
        <v>1.404011291003457</v>
      </c>
      <c r="I163" s="387"/>
      <c r="J163" s="388">
        <f t="shared" si="34"/>
        <v>1.3338107264532841</v>
      </c>
      <c r="K163" s="388">
        <f t="shared" si="35"/>
        <v>1.4742118555536299</v>
      </c>
      <c r="L163" s="1316">
        <v>1.4148661502989015</v>
      </c>
      <c r="M163" s="61" t="b">
        <f t="shared" si="30"/>
        <v>1</v>
      </c>
      <c r="N163" s="857">
        <f t="shared" si="36"/>
        <v>1.4148661502989015</v>
      </c>
      <c r="O163" s="15"/>
      <c r="P163" s="445">
        <f t="shared" si="42"/>
        <v>-6.5618462625811655E-2</v>
      </c>
      <c r="Q163" s="445">
        <f t="shared" si="43"/>
        <v>6.7897623836898124E-2</v>
      </c>
      <c r="R163" s="445">
        <f t="shared" si="44"/>
        <v>0</v>
      </c>
      <c r="S163" s="445">
        <f t="shared" si="44"/>
        <v>2.5578733702403588E-3</v>
      </c>
      <c r="T163" s="445">
        <f t="shared" si="44"/>
        <v>5.923986170895261E-2</v>
      </c>
      <c r="U163" s="445">
        <f t="shared" si="44"/>
        <v>-7.7527559729564603E-3</v>
      </c>
      <c r="V163" s="445">
        <f t="shared" si="44"/>
        <v>-2.9166743311026885E-4</v>
      </c>
      <c r="W163" s="445">
        <f t="shared" si="44"/>
        <v>-2.4115783279987285E-2</v>
      </c>
      <c r="X163" s="445">
        <f t="shared" si="44"/>
        <v>1.9028181468787621E-3</v>
      </c>
      <c r="Y163" s="43"/>
      <c r="Z163" s="388">
        <f t="shared" si="38"/>
        <v>1.4486856580500056</v>
      </c>
      <c r="AA163" s="43"/>
      <c r="AB163" s="462">
        <f>IF('TAR_Tab 2_Volumina'!C166="storage",1,0)</f>
        <v>0</v>
      </c>
      <c r="AC163" s="389">
        <f t="shared" si="37"/>
        <v>1.4486856580500056</v>
      </c>
      <c r="AD163" s="389">
        <f t="shared" si="39"/>
        <v>1.5461693485927375</v>
      </c>
      <c r="AE163" s="43"/>
      <c r="AF163" s="1027">
        <f t="shared" si="40"/>
        <v>1.5461693485927375</v>
      </c>
      <c r="AG163" s="392">
        <f t="shared" si="41"/>
        <v>1.546</v>
      </c>
      <c r="AH163" s="392">
        <f>AG163+'TAR_Tab 14_Overige tarieven'!$AA$14+'TAR_Tab 14_Overige tarieven'!$AA$15</f>
        <v>1.726</v>
      </c>
      <c r="AI163" s="43"/>
    </row>
    <row r="164" spans="1:35">
      <c r="A164" s="96">
        <v>300437</v>
      </c>
      <c r="B164" s="1286" t="s">
        <v>116</v>
      </c>
      <c r="C164" s="1022"/>
      <c r="D164" s="1358"/>
      <c r="E164" s="1022"/>
      <c r="F164" s="1032">
        <v>0.34322014281480018</v>
      </c>
      <c r="G164" s="390">
        <f t="shared" si="32"/>
        <v>0.32660828790256385</v>
      </c>
      <c r="H164" s="390">
        <f t="shared" si="33"/>
        <v>0.33424145200152533</v>
      </c>
      <c r="I164" s="387"/>
      <c r="J164" s="388">
        <f t="shared" si="34"/>
        <v>0.31752937940144904</v>
      </c>
      <c r="K164" s="388">
        <f t="shared" si="35"/>
        <v>0.35095352460160162</v>
      </c>
      <c r="L164" s="1316">
        <v>0.3368255793197526</v>
      </c>
      <c r="M164" s="61" t="b">
        <f t="shared" si="30"/>
        <v>1</v>
      </c>
      <c r="N164" s="857">
        <f t="shared" si="36"/>
        <v>0.3368255793197526</v>
      </c>
      <c r="O164" s="15"/>
      <c r="P164" s="445">
        <f t="shared" si="42"/>
        <v>-1.5621249178476232E-2</v>
      </c>
      <c r="Q164" s="445">
        <f t="shared" si="43"/>
        <v>1.6163830393755945E-2</v>
      </c>
      <c r="R164" s="445">
        <f t="shared" si="44"/>
        <v>0</v>
      </c>
      <c r="S164" s="445">
        <f t="shared" si="44"/>
        <v>6.0893193294345627E-4</v>
      </c>
      <c r="T164" s="445">
        <f t="shared" si="44"/>
        <v>1.4102747977061052E-2</v>
      </c>
      <c r="U164" s="445">
        <f t="shared" si="44"/>
        <v>-1.8456350244608431E-3</v>
      </c>
      <c r="V164" s="445">
        <f t="shared" si="44"/>
        <v>-6.9434873472177779E-5</v>
      </c>
      <c r="W164" s="445">
        <f t="shared" si="44"/>
        <v>-5.7410467218509068E-3</v>
      </c>
      <c r="X164" s="445">
        <f t="shared" si="44"/>
        <v>4.5298830884262669E-4</v>
      </c>
      <c r="Y164" s="43"/>
      <c r="Z164" s="388">
        <f t="shared" si="38"/>
        <v>0.34487671213409554</v>
      </c>
      <c r="AA164" s="43"/>
      <c r="AB164" s="462">
        <f>IF('TAR_Tab 2_Volumina'!C167="storage",1,0)</f>
        <v>0</v>
      </c>
      <c r="AC164" s="389">
        <f t="shared" si="37"/>
        <v>0.34487671213409554</v>
      </c>
      <c r="AD164" s="389">
        <f t="shared" si="39"/>
        <v>0.36808385475627681</v>
      </c>
      <c r="AE164" s="43"/>
      <c r="AF164" s="1027">
        <f t="shared" si="40"/>
        <v>0.36808385475627681</v>
      </c>
      <c r="AG164" s="392">
        <f t="shared" si="41"/>
        <v>0.36799999999999999</v>
      </c>
      <c r="AH164" s="392">
        <f>AG164+'TAR_Tab 14_Overige tarieven'!$AA$14+'TAR_Tab 14_Overige tarieven'!$AA$15</f>
        <v>0.54800000000000004</v>
      </c>
      <c r="AI164" s="43"/>
    </row>
    <row r="165" spans="1:35">
      <c r="A165" s="96">
        <v>300438</v>
      </c>
      <c r="B165" s="1286" t="s">
        <v>117</v>
      </c>
      <c r="C165" s="1022"/>
      <c r="D165" s="1358"/>
      <c r="E165" s="1022"/>
      <c r="F165" s="1032">
        <v>0.71593822244373251</v>
      </c>
      <c r="G165" s="390">
        <f t="shared" si="32"/>
        <v>0.68128681247745582</v>
      </c>
      <c r="H165" s="390">
        <f t="shared" si="33"/>
        <v>0.6972091703315535</v>
      </c>
      <c r="I165" s="387"/>
      <c r="J165" s="388">
        <f t="shared" si="34"/>
        <v>0.66234871181497579</v>
      </c>
      <c r="K165" s="388">
        <f t="shared" si="35"/>
        <v>0.7320696288481312</v>
      </c>
      <c r="L165" s="1316">
        <v>0.70259951689923217</v>
      </c>
      <c r="M165" s="61" t="b">
        <f t="shared" si="30"/>
        <v>1</v>
      </c>
      <c r="N165" s="857">
        <f t="shared" si="36"/>
        <v>0.70259951689923217</v>
      </c>
      <c r="O165" s="15"/>
      <c r="P165" s="445">
        <f t="shared" si="42"/>
        <v>-3.2585061230580623E-2</v>
      </c>
      <c r="Q165" s="445">
        <f t="shared" si="43"/>
        <v>3.3716855616577154E-2</v>
      </c>
      <c r="R165" s="445">
        <f t="shared" si="44"/>
        <v>0</v>
      </c>
      <c r="S165" s="445">
        <f t="shared" si="44"/>
        <v>1.2701983108724614E-3</v>
      </c>
      <c r="T165" s="445">
        <f t="shared" si="44"/>
        <v>2.9417551765652514E-2</v>
      </c>
      <c r="U165" s="445">
        <f t="shared" si="44"/>
        <v>-3.849892514628403E-3</v>
      </c>
      <c r="V165" s="445">
        <f t="shared" si="44"/>
        <v>-1.4483730320018039E-4</v>
      </c>
      <c r="W165" s="445">
        <f t="shared" si="44"/>
        <v>-1.1975505724400962E-2</v>
      </c>
      <c r="X165" s="445">
        <f t="shared" si="44"/>
        <v>9.4490854167489683E-4</v>
      </c>
      <c r="Y165" s="43"/>
      <c r="Z165" s="388">
        <f t="shared" si="38"/>
        <v>0.71939373436119902</v>
      </c>
      <c r="AA165" s="43"/>
      <c r="AB165" s="462">
        <f>IF('TAR_Tab 2_Volumina'!C168="storage",1,0)</f>
        <v>0</v>
      </c>
      <c r="AC165" s="389">
        <f t="shared" si="37"/>
        <v>0.71939373436119902</v>
      </c>
      <c r="AD165" s="389">
        <f t="shared" si="39"/>
        <v>0.76780254947519988</v>
      </c>
      <c r="AE165" s="43"/>
      <c r="AF165" s="1027">
        <f t="shared" si="40"/>
        <v>0.76780254947519988</v>
      </c>
      <c r="AG165" s="392">
        <f t="shared" si="41"/>
        <v>0.76800000000000002</v>
      </c>
      <c r="AH165" s="392">
        <f>AG165+'TAR_Tab 14_Overige tarieven'!$AA$14+'TAR_Tab 14_Overige tarieven'!$AA$15</f>
        <v>0.94800000000000006</v>
      </c>
      <c r="AI165" s="43"/>
    </row>
    <row r="166" spans="1:35">
      <c r="A166" s="96">
        <v>300443</v>
      </c>
      <c r="B166" s="1286" t="s">
        <v>278</v>
      </c>
      <c r="C166" s="1022"/>
      <c r="D166" s="1358"/>
      <c r="E166" s="1022"/>
      <c r="F166" s="1032">
        <v>1.3070713993330594</v>
      </c>
      <c r="G166" s="390">
        <f t="shared" si="32"/>
        <v>1.2438091436053393</v>
      </c>
      <c r="H166" s="390">
        <f t="shared" si="33"/>
        <v>1.2728782139645112</v>
      </c>
      <c r="I166" s="387"/>
      <c r="J166" s="388">
        <f t="shared" si="34"/>
        <v>1.2092343032662856</v>
      </c>
      <c r="K166" s="388">
        <f t="shared" si="35"/>
        <v>1.3365221246627368</v>
      </c>
      <c r="L166" s="1316">
        <v>1.2827192415982323</v>
      </c>
      <c r="M166" s="61" t="b">
        <f t="shared" si="30"/>
        <v>1</v>
      </c>
      <c r="N166" s="857">
        <f t="shared" si="36"/>
        <v>1.2827192415982323</v>
      </c>
      <c r="O166" s="15"/>
      <c r="P166" s="445">
        <f t="shared" si="42"/>
        <v>-5.9489771945170564E-2</v>
      </c>
      <c r="Q166" s="445">
        <f t="shared" si="43"/>
        <v>6.1556062059996849E-2</v>
      </c>
      <c r="R166" s="445">
        <f t="shared" si="44"/>
        <v>0</v>
      </c>
      <c r="S166" s="445">
        <f t="shared" si="44"/>
        <v>2.3189708714749331E-3</v>
      </c>
      <c r="T166" s="445">
        <f t="shared" si="44"/>
        <v>5.3706925186978831E-2</v>
      </c>
      <c r="U166" s="445">
        <f t="shared" si="44"/>
        <v>-7.028657276044098E-3</v>
      </c>
      <c r="V166" s="445">
        <f t="shared" si="44"/>
        <v>-2.6442602257398685E-4</v>
      </c>
      <c r="W166" s="445">
        <f t="shared" si="44"/>
        <v>-2.1863396218022191E-2</v>
      </c>
      <c r="X166" s="445">
        <f t="shared" si="44"/>
        <v>1.7250970699582042E-3</v>
      </c>
      <c r="Y166" s="43"/>
      <c r="Z166" s="388">
        <f t="shared" si="38"/>
        <v>1.3133800453248303</v>
      </c>
      <c r="AA166" s="43"/>
      <c r="AB166" s="462">
        <f>IF('TAR_Tab 2_Volumina'!C169="storage",1,0)</f>
        <v>0</v>
      </c>
      <c r="AC166" s="389">
        <f t="shared" si="37"/>
        <v>1.3133800453248303</v>
      </c>
      <c r="AD166" s="389">
        <f t="shared" si="39"/>
        <v>1.4017588687031075</v>
      </c>
      <c r="AE166" s="43"/>
      <c r="AF166" s="1027">
        <f t="shared" si="40"/>
        <v>1.4017588687031075</v>
      </c>
      <c r="AG166" s="392">
        <f t="shared" si="41"/>
        <v>1.4019999999999999</v>
      </c>
      <c r="AH166" s="392">
        <f>AG166+'TAR_Tab 14_Overige tarieven'!$AA$14+'TAR_Tab 14_Overige tarieven'!$AA$15</f>
        <v>1.5819999999999999</v>
      </c>
      <c r="AI166" s="43"/>
    </row>
    <row r="167" spans="1:35">
      <c r="A167" s="96">
        <v>300444</v>
      </c>
      <c r="B167" s="1286" t="s">
        <v>118</v>
      </c>
      <c r="C167" s="1022"/>
      <c r="D167" s="1358"/>
      <c r="E167" s="1022"/>
      <c r="F167" s="1032">
        <v>1.0309110437702351</v>
      </c>
      <c r="G167" s="390">
        <f t="shared" si="32"/>
        <v>0.9810149492517557</v>
      </c>
      <c r="H167" s="390">
        <f t="shared" si="33"/>
        <v>1.0039422550444579</v>
      </c>
      <c r="I167" s="387"/>
      <c r="J167" s="388">
        <f t="shared" si="34"/>
        <v>0.95374514229223495</v>
      </c>
      <c r="K167" s="388">
        <f t="shared" si="35"/>
        <v>1.0541393677966808</v>
      </c>
      <c r="L167" s="1316">
        <v>1.0117040529652355</v>
      </c>
      <c r="M167" s="61" t="b">
        <f t="shared" si="30"/>
        <v>1</v>
      </c>
      <c r="N167" s="857">
        <f t="shared" si="36"/>
        <v>1.0117040529652355</v>
      </c>
      <c r="O167" s="15"/>
      <c r="P167" s="445">
        <f t="shared" si="42"/>
        <v>-4.6920667777553951E-2</v>
      </c>
      <c r="Q167" s="445">
        <f t="shared" si="43"/>
        <v>4.855038846465231E-2</v>
      </c>
      <c r="R167" s="445">
        <f t="shared" si="44"/>
        <v>0</v>
      </c>
      <c r="S167" s="445">
        <f t="shared" si="44"/>
        <v>1.829014606856855E-3</v>
      </c>
      <c r="T167" s="445">
        <f t="shared" si="44"/>
        <v>4.2359631103893507E-2</v>
      </c>
      <c r="U167" s="445">
        <f t="shared" si="44"/>
        <v>-5.5436301432707884E-3</v>
      </c>
      <c r="V167" s="445">
        <f t="shared" si="44"/>
        <v>-2.0855762513880731E-4</v>
      </c>
      <c r="W167" s="445">
        <f t="shared" si="44"/>
        <v>-1.7244059220471224E-2</v>
      </c>
      <c r="X167" s="445">
        <f t="shared" si="44"/>
        <v>1.3606155118251661E-3</v>
      </c>
      <c r="Y167" s="43"/>
      <c r="Z167" s="388">
        <f t="shared" si="38"/>
        <v>1.0358867878860285</v>
      </c>
      <c r="AA167" s="43"/>
      <c r="AB167" s="462">
        <f>IF('TAR_Tab 2_Volumina'!C170="storage",1,0)</f>
        <v>0</v>
      </c>
      <c r="AC167" s="389">
        <f t="shared" si="37"/>
        <v>1.0358867878860285</v>
      </c>
      <c r="AD167" s="389">
        <f t="shared" si="39"/>
        <v>1.1055927772471106</v>
      </c>
      <c r="AE167" s="43"/>
      <c r="AF167" s="1027">
        <f t="shared" si="40"/>
        <v>1.1055927772471106</v>
      </c>
      <c r="AG167" s="392">
        <f t="shared" si="41"/>
        <v>1.1060000000000001</v>
      </c>
      <c r="AH167" s="392">
        <f>AG167+'TAR_Tab 14_Overige tarieven'!$AA$14+'TAR_Tab 14_Overige tarieven'!$AA$15</f>
        <v>1.286</v>
      </c>
      <c r="AI167" s="43"/>
    </row>
    <row r="168" spans="1:35">
      <c r="A168" s="96">
        <v>300447</v>
      </c>
      <c r="B168" s="1286" t="s">
        <v>376</v>
      </c>
      <c r="C168" s="1022"/>
      <c r="D168" s="1358"/>
      <c r="E168" s="1022"/>
      <c r="F168" s="1032">
        <v>0.57000867376027275</v>
      </c>
      <c r="G168" s="390">
        <f t="shared" si="32"/>
        <v>0.5424202539502756</v>
      </c>
      <c r="H168" s="390">
        <f t="shared" si="33"/>
        <v>0.5550971606986983</v>
      </c>
      <c r="I168" s="387"/>
      <c r="J168" s="388">
        <f t="shared" si="34"/>
        <v>0.52734230266376336</v>
      </c>
      <c r="K168" s="388">
        <f t="shared" si="35"/>
        <v>0.58285201873363324</v>
      </c>
      <c r="L168" s="1316">
        <v>0.55938879397351238</v>
      </c>
      <c r="M168" s="61" t="b">
        <f t="shared" si="30"/>
        <v>1</v>
      </c>
      <c r="N168" s="857">
        <f t="shared" si="36"/>
        <v>0.55938879397351238</v>
      </c>
      <c r="O168" s="15"/>
      <c r="P168" s="445">
        <f t="shared" si="42"/>
        <v>-2.5943254535345482E-2</v>
      </c>
      <c r="Q168" s="445">
        <f t="shared" si="43"/>
        <v>2.6844355491694977E-2</v>
      </c>
      <c r="R168" s="445">
        <f t="shared" si="44"/>
        <v>0</v>
      </c>
      <c r="S168" s="445">
        <f t="shared" si="44"/>
        <v>1.0112940361273329E-3</v>
      </c>
      <c r="T168" s="445">
        <f t="shared" si="44"/>
        <v>2.3421377908806405E-2</v>
      </c>
      <c r="U168" s="445">
        <f t="shared" si="44"/>
        <v>-3.0651696718921964E-3</v>
      </c>
      <c r="V168" s="445">
        <f t="shared" si="44"/>
        <v>-1.15315143849074E-4</v>
      </c>
      <c r="W168" s="445">
        <f t="shared" si="44"/>
        <v>-9.5345407209500299E-3</v>
      </c>
      <c r="X168" s="445">
        <f t="shared" si="44"/>
        <v>7.5230801734040953E-4</v>
      </c>
      <c r="Y168" s="43"/>
      <c r="Z168" s="388">
        <f t="shared" si="38"/>
        <v>0.57275984935544477</v>
      </c>
      <c r="AA168" s="43"/>
      <c r="AB168" s="462">
        <f>IF('TAR_Tab 2_Volumina'!C171="storage",1,0)</f>
        <v>0</v>
      </c>
      <c r="AC168" s="389">
        <f t="shared" si="37"/>
        <v>0.57275984935544477</v>
      </c>
      <c r="AD168" s="389">
        <f t="shared" si="39"/>
        <v>0.61130150509670744</v>
      </c>
      <c r="AE168" s="43"/>
      <c r="AF168" s="1027">
        <f t="shared" si="40"/>
        <v>0.61130150509670744</v>
      </c>
      <c r="AG168" s="392">
        <f t="shared" si="41"/>
        <v>0.61099999999999999</v>
      </c>
      <c r="AH168" s="392">
        <f>AG168+'TAR_Tab 14_Overige tarieven'!$AA$14+'TAR_Tab 14_Overige tarieven'!$AA$15</f>
        <v>0.79100000000000004</v>
      </c>
      <c r="AI168" s="43"/>
    </row>
    <row r="169" spans="1:35">
      <c r="A169" s="96">
        <v>300450</v>
      </c>
      <c r="B169" s="1286" t="s">
        <v>377</v>
      </c>
      <c r="C169" s="1022"/>
      <c r="D169" s="1358"/>
      <c r="E169" s="1022"/>
      <c r="F169" s="1032">
        <v>1.5136109543012575</v>
      </c>
      <c r="G169" s="390">
        <f t="shared" si="32"/>
        <v>1.4403521841130766</v>
      </c>
      <c r="H169" s="390">
        <f t="shared" si="33"/>
        <v>1.4740146629565791</v>
      </c>
      <c r="I169" s="387"/>
      <c r="J169" s="388">
        <f t="shared" si="34"/>
        <v>1.4003139298087501</v>
      </c>
      <c r="K169" s="388">
        <f t="shared" si="35"/>
        <v>1.5477153961044081</v>
      </c>
      <c r="L169" s="1316">
        <v>1.485410740657906</v>
      </c>
      <c r="M169" s="61" t="b">
        <f t="shared" si="30"/>
        <v>1</v>
      </c>
      <c r="N169" s="857">
        <f t="shared" si="36"/>
        <v>1.485410740657906</v>
      </c>
      <c r="O169" s="15"/>
      <c r="P169" s="445">
        <f t="shared" si="42"/>
        <v>-6.8890169680890762E-2</v>
      </c>
      <c r="Q169" s="445">
        <f t="shared" si="43"/>
        <v>7.1282968845619882E-2</v>
      </c>
      <c r="R169" s="445">
        <f t="shared" si="44"/>
        <v>0</v>
      </c>
      <c r="S169" s="445">
        <f t="shared" si="44"/>
        <v>2.6854077868745346E-3</v>
      </c>
      <c r="T169" s="445">
        <f t="shared" si="44"/>
        <v>6.2193534589104052E-2</v>
      </c>
      <c r="U169" s="445">
        <f t="shared" si="44"/>
        <v>-8.1393049013833638E-3</v>
      </c>
      <c r="V169" s="445">
        <f t="shared" si="44"/>
        <v>-3.0620984023866011E-4</v>
      </c>
      <c r="W169" s="445">
        <f t="shared" si="44"/>
        <v>-2.5318185395773171E-2</v>
      </c>
      <c r="X169" s="445">
        <f t="shared" si="44"/>
        <v>1.9976918044829705E-3</v>
      </c>
      <c r="Y169" s="43"/>
      <c r="Z169" s="388">
        <f t="shared" si="38"/>
        <v>1.5209164738657015</v>
      </c>
      <c r="AA169" s="43"/>
      <c r="AB169" s="462">
        <f>IF('TAR_Tab 2_Volumina'!C172="storage",1,0)</f>
        <v>0</v>
      </c>
      <c r="AC169" s="389">
        <f t="shared" si="37"/>
        <v>1.5209164738657015</v>
      </c>
      <c r="AD169" s="389">
        <f t="shared" si="39"/>
        <v>1.6232606574059993</v>
      </c>
      <c r="AE169" s="43"/>
      <c r="AF169" s="1027">
        <f t="shared" si="40"/>
        <v>1.6232606574059993</v>
      </c>
      <c r="AG169" s="392">
        <f t="shared" si="41"/>
        <v>1.623</v>
      </c>
      <c r="AH169" s="392">
        <f>AG169+'TAR_Tab 14_Overige tarieven'!$AA$14+'TAR_Tab 14_Overige tarieven'!$AA$15</f>
        <v>1.8029999999999999</v>
      </c>
      <c r="AI169" s="43"/>
    </row>
    <row r="170" spans="1:35">
      <c r="A170" s="96">
        <v>300451</v>
      </c>
      <c r="B170" s="1286" t="s">
        <v>786</v>
      </c>
      <c r="C170" s="1022"/>
      <c r="D170" s="1358"/>
      <c r="E170" s="1022"/>
      <c r="F170" s="1032">
        <v>1.3354199657012429</v>
      </c>
      <c r="G170" s="390">
        <f t="shared" si="32"/>
        <v>1.2707856393613026</v>
      </c>
      <c r="H170" s="390">
        <f t="shared" si="33"/>
        <v>1.300485177551657</v>
      </c>
      <c r="I170" s="387"/>
      <c r="J170" s="388">
        <f t="shared" si="34"/>
        <v>1.2354609186740741</v>
      </c>
      <c r="K170" s="388">
        <f t="shared" si="35"/>
        <v>1.3655094364292399</v>
      </c>
      <c r="L170" s="1316">
        <v>1.3105396434299514</v>
      </c>
      <c r="M170" s="61" t="b">
        <f t="shared" si="30"/>
        <v>1</v>
      </c>
      <c r="N170" s="857">
        <f t="shared" si="36"/>
        <v>1.3105396434299514</v>
      </c>
      <c r="O170" s="15"/>
      <c r="P170" s="445">
        <f t="shared" si="42"/>
        <v>-6.0780022614779189E-2</v>
      </c>
      <c r="Q170" s="445">
        <f t="shared" si="43"/>
        <v>6.2891127697239188E-2</v>
      </c>
      <c r="R170" s="445">
        <f t="shared" si="44"/>
        <v>0</v>
      </c>
      <c r="S170" s="445">
        <f t="shared" si="44"/>
        <v>2.3692661343729161E-3</v>
      </c>
      <c r="T170" s="445">
        <f t="shared" si="44"/>
        <v>5.4871753928446967E-2</v>
      </c>
      <c r="U170" s="445">
        <f t="shared" si="44"/>
        <v>-7.1810991069730127E-3</v>
      </c>
      <c r="V170" s="445">
        <f t="shared" si="44"/>
        <v>-2.701610563710987E-4</v>
      </c>
      <c r="W170" s="445">
        <f t="shared" si="44"/>
        <v>-2.2337582967909567E-2</v>
      </c>
      <c r="X170" s="445">
        <f t="shared" si="44"/>
        <v>1.7625120335204262E-3</v>
      </c>
      <c r="Y170" s="43"/>
      <c r="Z170" s="388">
        <f t="shared" si="38"/>
        <v>1.3418654374774981</v>
      </c>
      <c r="AA170" s="43"/>
      <c r="AB170" s="462">
        <f>IF('TAR_Tab 2_Volumina'!C173="storage",1,0)</f>
        <v>0</v>
      </c>
      <c r="AC170" s="389">
        <f t="shared" si="37"/>
        <v>1.3418654374774981</v>
      </c>
      <c r="AD170" s="389">
        <f t="shared" si="39"/>
        <v>1.4321610749956604</v>
      </c>
      <c r="AE170" s="43"/>
      <c r="AF170" s="1027">
        <f t="shared" si="40"/>
        <v>1.4321610749956604</v>
      </c>
      <c r="AG170" s="392">
        <f t="shared" si="41"/>
        <v>1.4319999999999999</v>
      </c>
      <c r="AH170" s="392">
        <f>AG170+'TAR_Tab 14_Overige tarieven'!$AA$14+'TAR_Tab 14_Overige tarieven'!$AA$15</f>
        <v>1.6119999999999999</v>
      </c>
      <c r="AI170" s="43"/>
    </row>
    <row r="171" spans="1:35">
      <c r="A171" s="96">
        <v>300452</v>
      </c>
      <c r="B171" s="1286" t="s">
        <v>378</v>
      </c>
      <c r="C171" s="1022"/>
      <c r="D171" s="1358"/>
      <c r="E171" s="1022"/>
      <c r="F171" s="1032">
        <v>0.34322014281480018</v>
      </c>
      <c r="G171" s="390">
        <f t="shared" si="32"/>
        <v>0.32660828790256385</v>
      </c>
      <c r="H171" s="390">
        <f t="shared" si="33"/>
        <v>0.33424145200152533</v>
      </c>
      <c r="I171" s="387"/>
      <c r="J171" s="388">
        <f t="shared" si="34"/>
        <v>0.31752937940144904</v>
      </c>
      <c r="K171" s="388">
        <f t="shared" si="35"/>
        <v>0.35095352460160162</v>
      </c>
      <c r="L171" s="1316">
        <v>0.31752937940144904</v>
      </c>
      <c r="M171" s="61" t="b">
        <f t="shared" ref="M171:M222" si="45">IF(L171&gt;0,AND(L171&gt;=J171,L171&lt;=K171),"")</f>
        <v>1</v>
      </c>
      <c r="N171" s="857">
        <f t="shared" si="36"/>
        <v>0.31752937940144904</v>
      </c>
      <c r="O171" s="15"/>
      <c r="P171" s="445">
        <f t="shared" si="42"/>
        <v>-1.4726332742110926E-2</v>
      </c>
      <c r="Q171" s="445">
        <f t="shared" si="43"/>
        <v>1.5237830345441994E-2</v>
      </c>
      <c r="R171" s="445">
        <f t="shared" si="44"/>
        <v>0</v>
      </c>
      <c r="S171" s="445">
        <f t="shared" si="44"/>
        <v>5.7404719426521757E-4</v>
      </c>
      <c r="T171" s="445">
        <f t="shared" si="44"/>
        <v>1.3294824051234489E-2</v>
      </c>
      <c r="U171" s="445">
        <f t="shared" si="44"/>
        <v>-1.7399015392542136E-3</v>
      </c>
      <c r="V171" s="445">
        <f t="shared" si="44"/>
        <v>-6.545706037815104E-5</v>
      </c>
      <c r="W171" s="445">
        <f t="shared" si="44"/>
        <v>-5.4121513169683956E-3</v>
      </c>
      <c r="X171" s="445">
        <f t="shared" si="44"/>
        <v>4.2703733152749926E-4</v>
      </c>
      <c r="Y171" s="43"/>
      <c r="Z171" s="388">
        <f t="shared" si="38"/>
        <v>0.32511927566520654</v>
      </c>
      <c r="AA171" s="43"/>
      <c r="AB171" s="462">
        <f>IF('TAR_Tab 2_Volumina'!C174="storage",1,0)</f>
        <v>0</v>
      </c>
      <c r="AC171" s="389">
        <f t="shared" si="37"/>
        <v>0.32511927566520654</v>
      </c>
      <c r="AD171" s="389">
        <f t="shared" si="39"/>
        <v>0.34699691812153166</v>
      </c>
      <c r="AE171" s="43"/>
      <c r="AF171" s="1027">
        <f t="shared" si="40"/>
        <v>0.34699691812153166</v>
      </c>
      <c r="AG171" s="392">
        <f t="shared" si="41"/>
        <v>0.34699999999999998</v>
      </c>
      <c r="AH171" s="392">
        <f>AG171+'TAR_Tab 14_Overige tarieven'!$AA$14+'TAR_Tab 14_Overige tarieven'!$AA$15</f>
        <v>0.52699999999999991</v>
      </c>
      <c r="AI171" s="43"/>
    </row>
    <row r="172" spans="1:35">
      <c r="A172" s="96">
        <v>300453</v>
      </c>
      <c r="B172" s="1286" t="s">
        <v>119</v>
      </c>
      <c r="C172" s="1022"/>
      <c r="D172" s="1358"/>
      <c r="E172" s="1022"/>
      <c r="F172" s="1032">
        <v>1.3725358636385268</v>
      </c>
      <c r="G172" s="390">
        <f t="shared" si="32"/>
        <v>1.3061051278384221</v>
      </c>
      <c r="H172" s="390">
        <f t="shared" si="33"/>
        <v>1.3366301179888862</v>
      </c>
      <c r="I172" s="387"/>
      <c r="J172" s="388">
        <f t="shared" si="34"/>
        <v>1.2697986120894418</v>
      </c>
      <c r="K172" s="388">
        <f t="shared" si="35"/>
        <v>1.4034616238883306</v>
      </c>
      <c r="L172" s="1316">
        <v>1.3469640319351572</v>
      </c>
      <c r="M172" s="61" t="b">
        <f t="shared" si="45"/>
        <v>1</v>
      </c>
      <c r="N172" s="857">
        <f t="shared" si="36"/>
        <v>1.3469640319351572</v>
      </c>
      <c r="O172" s="15"/>
      <c r="P172" s="445">
        <f t="shared" si="42"/>
        <v>-6.2469307763972956E-2</v>
      </c>
      <c r="Q172" s="445">
        <f t="shared" si="43"/>
        <v>6.463908769238999E-2</v>
      </c>
      <c r="R172" s="445">
        <f t="shared" si="44"/>
        <v>0</v>
      </c>
      <c r="S172" s="445">
        <f t="shared" si="44"/>
        <v>2.4351161607977286E-3</v>
      </c>
      <c r="T172" s="445">
        <f t="shared" si="44"/>
        <v>5.6396828040528674E-2</v>
      </c>
      <c r="U172" s="445">
        <f t="shared" si="44"/>
        <v>-7.3806864640423471E-3</v>
      </c>
      <c r="V172" s="445">
        <f t="shared" si="44"/>
        <v>-2.7766975809223338E-4</v>
      </c>
      <c r="W172" s="445">
        <f t="shared" si="44"/>
        <v>-2.2958420959624921E-2</v>
      </c>
      <c r="X172" s="445">
        <f t="shared" si="44"/>
        <v>1.8114982838608033E-3</v>
      </c>
      <c r="Y172" s="43"/>
      <c r="Z172" s="388">
        <f t="shared" si="38"/>
        <v>1.3791604771670021</v>
      </c>
      <c r="AA172" s="43"/>
      <c r="AB172" s="462">
        <f>IF('TAR_Tab 2_Volumina'!C175="storage",1,0)</f>
        <v>0</v>
      </c>
      <c r="AC172" s="389">
        <f t="shared" si="37"/>
        <v>1.3791604771670021</v>
      </c>
      <c r="AD172" s="389">
        <f t="shared" si="39"/>
        <v>1.4719657399359343</v>
      </c>
      <c r="AE172" s="43"/>
      <c r="AF172" s="1027">
        <f t="shared" si="40"/>
        <v>1.4719657399359343</v>
      </c>
      <c r="AG172" s="392">
        <f t="shared" si="41"/>
        <v>1.472</v>
      </c>
      <c r="AH172" s="392">
        <f>AG172+'TAR_Tab 14_Overige tarieven'!$AA$14+'TAR_Tab 14_Overige tarieven'!$AA$15</f>
        <v>1.6519999999999999</v>
      </c>
      <c r="AI172" s="43"/>
    </row>
    <row r="173" spans="1:35">
      <c r="A173" s="96">
        <v>300464</v>
      </c>
      <c r="B173" s="1286" t="s">
        <v>787</v>
      </c>
      <c r="C173" s="1022"/>
      <c r="D173" s="1358"/>
      <c r="E173" s="1022"/>
      <c r="F173" s="1032">
        <v>1.3576938392762452</v>
      </c>
      <c r="G173" s="390">
        <f t="shared" si="32"/>
        <v>1.291981457455275</v>
      </c>
      <c r="H173" s="390">
        <f t="shared" si="33"/>
        <v>1.3221763632272729</v>
      </c>
      <c r="I173" s="387"/>
      <c r="J173" s="388">
        <f t="shared" si="34"/>
        <v>1.2560675450659093</v>
      </c>
      <c r="K173" s="388">
        <f t="shared" si="35"/>
        <v>1.3882851813886365</v>
      </c>
      <c r="L173" s="1316">
        <v>1.3323985305834465</v>
      </c>
      <c r="M173" s="61" t="b">
        <f t="shared" si="45"/>
        <v>1</v>
      </c>
      <c r="N173" s="857">
        <f t="shared" si="36"/>
        <v>1.3323985305834465</v>
      </c>
      <c r="O173" s="15"/>
      <c r="P173" s="445">
        <f t="shared" si="42"/>
        <v>-6.1793790998043163E-2</v>
      </c>
      <c r="Q173" s="445">
        <f t="shared" si="43"/>
        <v>6.3940107840786811E-2</v>
      </c>
      <c r="R173" s="445">
        <f t="shared" si="44"/>
        <v>0</v>
      </c>
      <c r="S173" s="445">
        <f t="shared" si="44"/>
        <v>2.40878384093562E-3</v>
      </c>
      <c r="T173" s="445">
        <f t="shared" si="44"/>
        <v>5.5786976511029138E-2</v>
      </c>
      <c r="U173" s="445">
        <f t="shared" si="44"/>
        <v>-7.3008748312743104E-3</v>
      </c>
      <c r="V173" s="445">
        <f t="shared" si="44"/>
        <v>-2.7466715435454404E-4</v>
      </c>
      <c r="W173" s="445">
        <f t="shared" si="44"/>
        <v>-2.2710158271392531E-2</v>
      </c>
      <c r="X173" s="445">
        <f t="shared" si="44"/>
        <v>1.791909504890745E-3</v>
      </c>
      <c r="Y173" s="43"/>
      <c r="Z173" s="388">
        <f t="shared" si="38"/>
        <v>1.3642468170260242</v>
      </c>
      <c r="AA173" s="43"/>
      <c r="AB173" s="462">
        <f>IF('TAR_Tab 2_Volumina'!C176="storage",1,0)</f>
        <v>0</v>
      </c>
      <c r="AC173" s="389">
        <f t="shared" si="37"/>
        <v>1.3642468170260242</v>
      </c>
      <c r="AD173" s="389">
        <f t="shared" si="39"/>
        <v>1.4560485227969535</v>
      </c>
      <c r="AE173" s="43"/>
      <c r="AF173" s="1027">
        <f t="shared" si="40"/>
        <v>1.4560485227969535</v>
      </c>
      <c r="AG173" s="392">
        <f t="shared" si="41"/>
        <v>1.456</v>
      </c>
      <c r="AH173" s="392">
        <f>AG173+'TAR_Tab 14_Overige tarieven'!$AA$14+'TAR_Tab 14_Overige tarieven'!$AA$15</f>
        <v>1.6359999999999999</v>
      </c>
      <c r="AI173" s="43"/>
    </row>
    <row r="174" spans="1:35">
      <c r="A174" s="96">
        <v>300465</v>
      </c>
      <c r="B174" s="1286" t="s">
        <v>120</v>
      </c>
      <c r="C174" s="1022"/>
      <c r="D174" s="1358"/>
      <c r="E174" s="1022"/>
      <c r="F174" s="1032">
        <v>1.3576938392762452</v>
      </c>
      <c r="G174" s="390">
        <f t="shared" si="32"/>
        <v>1.291981457455275</v>
      </c>
      <c r="H174" s="390">
        <f t="shared" si="33"/>
        <v>1.3221763632272729</v>
      </c>
      <c r="I174" s="387"/>
      <c r="J174" s="388">
        <f t="shared" si="34"/>
        <v>1.2560675450659093</v>
      </c>
      <c r="K174" s="388">
        <f t="shared" si="35"/>
        <v>1.3882851813886365</v>
      </c>
      <c r="L174" s="1316">
        <v>1.3323985305834465</v>
      </c>
      <c r="M174" s="61" t="b">
        <f t="shared" si="45"/>
        <v>1</v>
      </c>
      <c r="N174" s="857">
        <f t="shared" si="36"/>
        <v>1.3323985305834465</v>
      </c>
      <c r="O174" s="15"/>
      <c r="P174" s="445">
        <f t="shared" si="42"/>
        <v>-6.1793790998043163E-2</v>
      </c>
      <c r="Q174" s="445">
        <f t="shared" si="43"/>
        <v>6.3940107840786811E-2</v>
      </c>
      <c r="R174" s="445">
        <f t="shared" si="44"/>
        <v>0</v>
      </c>
      <c r="S174" s="445">
        <f t="shared" si="44"/>
        <v>2.40878384093562E-3</v>
      </c>
      <c r="T174" s="445">
        <f t="shared" si="44"/>
        <v>5.5786976511029138E-2</v>
      </c>
      <c r="U174" s="445">
        <f t="shared" si="44"/>
        <v>-7.3008748312743104E-3</v>
      </c>
      <c r="V174" s="445">
        <f t="shared" si="44"/>
        <v>-2.7466715435454404E-4</v>
      </c>
      <c r="W174" s="445">
        <f t="shared" si="44"/>
        <v>-2.2710158271392531E-2</v>
      </c>
      <c r="X174" s="445">
        <f t="shared" si="44"/>
        <v>1.791909504890745E-3</v>
      </c>
      <c r="Y174" s="43"/>
      <c r="Z174" s="388">
        <f t="shared" si="38"/>
        <v>1.3642468170260242</v>
      </c>
      <c r="AA174" s="43"/>
      <c r="AB174" s="462">
        <f>IF('TAR_Tab 2_Volumina'!C177="storage",1,0)</f>
        <v>0</v>
      </c>
      <c r="AC174" s="389">
        <f t="shared" si="37"/>
        <v>1.3642468170260242</v>
      </c>
      <c r="AD174" s="389">
        <f t="shared" si="39"/>
        <v>1.4560485227969535</v>
      </c>
      <c r="AE174" s="43"/>
      <c r="AF174" s="1027">
        <f t="shared" si="40"/>
        <v>1.4560485227969535</v>
      </c>
      <c r="AG174" s="392">
        <f t="shared" si="41"/>
        <v>1.456</v>
      </c>
      <c r="AH174" s="392">
        <f>AG174+'TAR_Tab 14_Overige tarieven'!$AA$14+'TAR_Tab 14_Overige tarieven'!$AA$15</f>
        <v>1.6359999999999999</v>
      </c>
      <c r="AI174" s="43"/>
    </row>
    <row r="175" spans="1:35">
      <c r="A175" s="96">
        <v>300467</v>
      </c>
      <c r="B175" s="1286" t="s">
        <v>121</v>
      </c>
      <c r="C175" s="1022"/>
      <c r="D175" s="1358"/>
      <c r="E175" s="1022"/>
      <c r="F175" s="1032">
        <v>1.4238771351394903</v>
      </c>
      <c r="G175" s="390">
        <f t="shared" si="32"/>
        <v>1.354961481798739</v>
      </c>
      <c r="H175" s="390">
        <f t="shared" si="33"/>
        <v>1.3866282940672239</v>
      </c>
      <c r="I175" s="387"/>
      <c r="J175" s="388">
        <f t="shared" si="34"/>
        <v>1.3172968793638626</v>
      </c>
      <c r="K175" s="388">
        <f t="shared" si="35"/>
        <v>1.4559597087705851</v>
      </c>
      <c r="L175" s="1316">
        <v>1.3172968793638626</v>
      </c>
      <c r="M175" s="61" t="b">
        <f t="shared" si="45"/>
        <v>1</v>
      </c>
      <c r="N175" s="857">
        <f t="shared" si="36"/>
        <v>1.3172968793638626</v>
      </c>
      <c r="O175" s="15"/>
      <c r="P175" s="445">
        <f t="shared" si="42"/>
        <v>-6.1093408749212805E-2</v>
      </c>
      <c r="Q175" s="445">
        <f t="shared" si="43"/>
        <v>6.3215398840146209E-2</v>
      </c>
      <c r="R175" s="445">
        <f t="shared" si="44"/>
        <v>0</v>
      </c>
      <c r="S175" s="445">
        <f t="shared" si="44"/>
        <v>2.3814822396547703E-3</v>
      </c>
      <c r="T175" s="445">
        <f t="shared" si="44"/>
        <v>5.5154676607864453E-2</v>
      </c>
      <c r="U175" s="445">
        <f t="shared" si="44"/>
        <v>-7.2181253664790716E-3</v>
      </c>
      <c r="V175" s="445">
        <f t="shared" si="44"/>
        <v>-2.7155402605897201E-4</v>
      </c>
      <c r="W175" s="445">
        <f t="shared" si="44"/>
        <v>-2.2452757139911291E-2</v>
      </c>
      <c r="X175" s="445">
        <f t="shared" si="44"/>
        <v>1.7715996713546277E-3</v>
      </c>
      <c r="Y175" s="43"/>
      <c r="Z175" s="388">
        <f t="shared" si="38"/>
        <v>1.3487841914412206</v>
      </c>
      <c r="AA175" s="43"/>
      <c r="AB175" s="462">
        <f>IF('TAR_Tab 2_Volumina'!C178="storage",1,0)</f>
        <v>0</v>
      </c>
      <c r="AC175" s="389">
        <f t="shared" si="37"/>
        <v>1.3487841914412206</v>
      </c>
      <c r="AD175" s="389">
        <f t="shared" si="39"/>
        <v>1.4395453997107692</v>
      </c>
      <c r="AE175" s="43"/>
      <c r="AF175" s="1027">
        <f t="shared" si="40"/>
        <v>1.4395453997107692</v>
      </c>
      <c r="AG175" s="392">
        <f t="shared" si="41"/>
        <v>1.44</v>
      </c>
      <c r="AH175" s="392">
        <f>AG175+'TAR_Tab 14_Overige tarieven'!$AA$14+'TAR_Tab 14_Overige tarieven'!$AA$15</f>
        <v>1.6199999999999999</v>
      </c>
      <c r="AI175" s="43"/>
    </row>
    <row r="176" spans="1:35">
      <c r="A176" s="96">
        <v>300469</v>
      </c>
      <c r="B176" s="1286" t="s">
        <v>122</v>
      </c>
      <c r="C176" s="1022"/>
      <c r="D176" s="1358"/>
      <c r="E176" s="1022"/>
      <c r="F176" s="1032">
        <v>1.1698990506412945</v>
      </c>
      <c r="G176" s="390">
        <f t="shared" si="32"/>
        <v>1.1132759365902558</v>
      </c>
      <c r="H176" s="390">
        <f t="shared" si="33"/>
        <v>1.1392943146479295</v>
      </c>
      <c r="I176" s="387"/>
      <c r="J176" s="388">
        <f t="shared" si="34"/>
        <v>1.082329598915533</v>
      </c>
      <c r="K176" s="388">
        <f t="shared" si="35"/>
        <v>1.196259030380326</v>
      </c>
      <c r="L176" s="1316">
        <v>1.1481025625308681</v>
      </c>
      <c r="M176" s="61" t="b">
        <f t="shared" si="45"/>
        <v>1</v>
      </c>
      <c r="N176" s="857">
        <f t="shared" si="36"/>
        <v>1.1481025625308681</v>
      </c>
      <c r="O176" s="15"/>
      <c r="P176" s="445">
        <f t="shared" si="42"/>
        <v>-5.3246538603043743E-2</v>
      </c>
      <c r="Q176" s="445">
        <f t="shared" si="43"/>
        <v>5.5095979149993382E-2</v>
      </c>
      <c r="R176" s="445">
        <f t="shared" si="44"/>
        <v>0</v>
      </c>
      <c r="S176" s="445">
        <f t="shared" si="44"/>
        <v>2.0756033850848881E-3</v>
      </c>
      <c r="T176" s="445">
        <f t="shared" si="44"/>
        <v>4.807058039918078E-2</v>
      </c>
      <c r="U176" s="445">
        <f t="shared" si="44"/>
        <v>-6.2910254778145687E-3</v>
      </c>
      <c r="V176" s="445">
        <f t="shared" si="44"/>
        <v>-2.3667548148632826E-4</v>
      </c>
      <c r="W176" s="445">
        <f t="shared" si="44"/>
        <v>-1.9568912985403804E-2</v>
      </c>
      <c r="X176" s="445">
        <f t="shared" si="44"/>
        <v>1.5440544605581413E-3</v>
      </c>
      <c r="Y176" s="43"/>
      <c r="Z176" s="388">
        <f t="shared" si="38"/>
        <v>1.1755456273779368</v>
      </c>
      <c r="AA176" s="43"/>
      <c r="AB176" s="462">
        <f>IF('TAR_Tab 2_Volumina'!C179="storage",1,0)</f>
        <v>0</v>
      </c>
      <c r="AC176" s="389">
        <f t="shared" si="37"/>
        <v>1.1755456273779368</v>
      </c>
      <c r="AD176" s="389">
        <f t="shared" si="39"/>
        <v>1.2546494174385248</v>
      </c>
      <c r="AE176" s="43"/>
      <c r="AF176" s="1027">
        <f t="shared" si="40"/>
        <v>1.2546494174385248</v>
      </c>
      <c r="AG176" s="392">
        <f t="shared" si="41"/>
        <v>1.2549999999999999</v>
      </c>
      <c r="AH176" s="392">
        <f>AG176+'TAR_Tab 14_Overige tarieven'!$AA$14+'TAR_Tab 14_Overige tarieven'!$AA$15</f>
        <v>1.4349999999999998</v>
      </c>
      <c r="AI176" s="43"/>
    </row>
    <row r="177" spans="1:35">
      <c r="A177" s="96">
        <v>300486</v>
      </c>
      <c r="B177" s="1286" t="s">
        <v>123</v>
      </c>
      <c r="C177" s="1022"/>
      <c r="D177" s="1358"/>
      <c r="E177" s="1022"/>
      <c r="F177" s="1032">
        <v>0.60544438172050297</v>
      </c>
      <c r="G177" s="390">
        <f t="shared" si="32"/>
        <v>0.57614087364523059</v>
      </c>
      <c r="H177" s="390">
        <f t="shared" si="33"/>
        <v>0.58960586518263158</v>
      </c>
      <c r="I177" s="387"/>
      <c r="J177" s="388">
        <f t="shared" si="34"/>
        <v>0.56012557192349999</v>
      </c>
      <c r="K177" s="388">
        <f t="shared" si="35"/>
        <v>0.61908615844176318</v>
      </c>
      <c r="L177" s="1316">
        <v>0.59416429626316236</v>
      </c>
      <c r="M177" s="61" t="b">
        <f t="shared" si="45"/>
        <v>1</v>
      </c>
      <c r="N177" s="857">
        <f t="shared" si="36"/>
        <v>0.59416429626316236</v>
      </c>
      <c r="O177" s="15"/>
      <c r="P177" s="445">
        <f t="shared" si="42"/>
        <v>-2.7556067872356302E-2</v>
      </c>
      <c r="Q177" s="445">
        <f t="shared" si="43"/>
        <v>2.8513187538247952E-2</v>
      </c>
      <c r="R177" s="445">
        <f t="shared" si="44"/>
        <v>0</v>
      </c>
      <c r="S177" s="445">
        <f t="shared" si="44"/>
        <v>1.0741631147498138E-3</v>
      </c>
      <c r="T177" s="445">
        <f t="shared" si="44"/>
        <v>2.4877413835641619E-2</v>
      </c>
      <c r="U177" s="445">
        <f t="shared" si="44"/>
        <v>-3.2557219605533457E-3</v>
      </c>
      <c r="V177" s="445">
        <f t="shared" si="44"/>
        <v>-1.2248393609546403E-4</v>
      </c>
      <c r="W177" s="445">
        <f t="shared" si="44"/>
        <v>-1.0127274158309267E-2</v>
      </c>
      <c r="X177" s="445">
        <f t="shared" si="44"/>
        <v>7.9907672179318806E-4</v>
      </c>
      <c r="Y177" s="43"/>
      <c r="Z177" s="388">
        <f t="shared" si="38"/>
        <v>0.60836658954628053</v>
      </c>
      <c r="AA177" s="43"/>
      <c r="AB177" s="462">
        <f>IF('TAR_Tab 2_Volumina'!C180="storage",1,0)</f>
        <v>0</v>
      </c>
      <c r="AC177" s="389">
        <f t="shared" si="37"/>
        <v>0.60836658954628053</v>
      </c>
      <c r="AD177" s="389">
        <f t="shared" si="39"/>
        <v>0.64930426296239963</v>
      </c>
      <c r="AE177" s="43"/>
      <c r="AF177" s="1027">
        <f t="shared" si="40"/>
        <v>0.64930426296239963</v>
      </c>
      <c r="AG177" s="392">
        <f t="shared" si="41"/>
        <v>0.64900000000000002</v>
      </c>
      <c r="AH177" s="392">
        <f>AG177+'TAR_Tab 14_Overige tarieven'!$AA$14+'TAR_Tab 14_Overige tarieven'!$AA$15</f>
        <v>0.82900000000000007</v>
      </c>
      <c r="AI177" s="43"/>
    </row>
    <row r="178" spans="1:35">
      <c r="A178" s="96">
        <v>300487</v>
      </c>
      <c r="B178" s="1286" t="s">
        <v>124</v>
      </c>
      <c r="C178" s="1022"/>
      <c r="D178" s="1358"/>
      <c r="E178" s="1022"/>
      <c r="F178" s="1032">
        <v>1.6462417469524044</v>
      </c>
      <c r="G178" s="390">
        <f t="shared" si="32"/>
        <v>1.566563646399908</v>
      </c>
      <c r="H178" s="390">
        <f t="shared" si="33"/>
        <v>1.6031758140250152</v>
      </c>
      <c r="I178" s="387"/>
      <c r="J178" s="388">
        <f t="shared" si="34"/>
        <v>1.5230170233237643</v>
      </c>
      <c r="K178" s="388">
        <f t="shared" si="35"/>
        <v>1.6833346047262661</v>
      </c>
      <c r="L178" s="1316">
        <v>1.6155704777991673</v>
      </c>
      <c r="M178" s="61" t="b">
        <f t="shared" si="45"/>
        <v>1</v>
      </c>
      <c r="N178" s="857">
        <f t="shared" si="36"/>
        <v>1.6155704777991673</v>
      </c>
      <c r="O178" s="15"/>
      <c r="P178" s="445">
        <f t="shared" si="42"/>
        <v>-7.4926699599416974E-2</v>
      </c>
      <c r="Q178" s="445">
        <f t="shared" si="43"/>
        <v>7.7529168791289585E-2</v>
      </c>
      <c r="R178" s="445">
        <f t="shared" si="44"/>
        <v>0</v>
      </c>
      <c r="S178" s="445">
        <f t="shared" si="44"/>
        <v>2.9207177668615337E-3</v>
      </c>
      <c r="T178" s="445">
        <f t="shared" si="44"/>
        <v>6.7643269058115837E-2</v>
      </c>
      <c r="U178" s="445">
        <f t="shared" si="44"/>
        <v>-8.8525148960865215E-3</v>
      </c>
      <c r="V178" s="445">
        <f t="shared" si="44"/>
        <v>-3.3304160550371993E-4</v>
      </c>
      <c r="W178" s="445">
        <f t="shared" si="44"/>
        <v>-2.7536701975603463E-2</v>
      </c>
      <c r="X178" s="445">
        <f t="shared" si="44"/>
        <v>2.1727403840062273E-3</v>
      </c>
      <c r="Y178" s="43"/>
      <c r="Z178" s="388">
        <f t="shared" si="38"/>
        <v>1.6541874157228298</v>
      </c>
      <c r="AA178" s="43"/>
      <c r="AB178" s="462">
        <f>IF('TAR_Tab 2_Volumina'!C181="storage",1,0)</f>
        <v>0</v>
      </c>
      <c r="AC178" s="389">
        <f t="shared" si="37"/>
        <v>1.6541874157228298</v>
      </c>
      <c r="AD178" s="389">
        <f t="shared" si="39"/>
        <v>1.7654995511318761</v>
      </c>
      <c r="AE178" s="43"/>
      <c r="AF178" s="1027">
        <f t="shared" si="40"/>
        <v>1.7654995511318761</v>
      </c>
      <c r="AG178" s="392">
        <f t="shared" si="41"/>
        <v>1.7649999999999999</v>
      </c>
      <c r="AH178" s="392">
        <f>AG178+'TAR_Tab 14_Overige tarieven'!$AA$14+'TAR_Tab 14_Overige tarieven'!$AA$15</f>
        <v>1.9449999999999998</v>
      </c>
      <c r="AI178" s="43"/>
    </row>
    <row r="179" spans="1:35">
      <c r="A179" s="96">
        <v>300489</v>
      </c>
      <c r="B179" s="1286" t="s">
        <v>788</v>
      </c>
      <c r="C179" s="1022"/>
      <c r="D179" s="1358"/>
      <c r="E179" s="1022"/>
      <c r="F179" s="1032">
        <v>0.31967606599401921</v>
      </c>
      <c r="G179" s="390">
        <f t="shared" si="32"/>
        <v>0.30420374439990866</v>
      </c>
      <c r="H179" s="390">
        <f t="shared" si="33"/>
        <v>0.31131329178902989</v>
      </c>
      <c r="I179" s="387"/>
      <c r="J179" s="388">
        <f t="shared" si="34"/>
        <v>0.29574762719957837</v>
      </c>
      <c r="K179" s="388">
        <f t="shared" si="35"/>
        <v>0.32687895637848141</v>
      </c>
      <c r="L179" s="1316">
        <v>0.31372015418452842</v>
      </c>
      <c r="M179" s="61" t="b">
        <f t="shared" si="45"/>
        <v>1</v>
      </c>
      <c r="N179" s="857">
        <f t="shared" si="36"/>
        <v>0.31372015418452842</v>
      </c>
      <c r="O179" s="15"/>
      <c r="P179" s="445">
        <f t="shared" si="42"/>
        <v>-1.4549669032630705E-2</v>
      </c>
      <c r="Q179" s="445">
        <f t="shared" si="43"/>
        <v>1.5055030480710009E-2</v>
      </c>
      <c r="R179" s="445">
        <f t="shared" si="44"/>
        <v>0</v>
      </c>
      <c r="S179" s="445">
        <f t="shared" si="44"/>
        <v>5.6716066599429176E-4</v>
      </c>
      <c r="T179" s="445">
        <f t="shared" si="44"/>
        <v>1.3135333363708351E-2</v>
      </c>
      <c r="U179" s="445">
        <f t="shared" si="44"/>
        <v>-1.7190288980177412E-3</v>
      </c>
      <c r="V179" s="445">
        <f t="shared" si="44"/>
        <v>-6.4671808048152591E-5</v>
      </c>
      <c r="W179" s="445">
        <f t="shared" si="44"/>
        <v>-5.3472247161188988E-3</v>
      </c>
      <c r="X179" s="445">
        <f t="shared" si="44"/>
        <v>4.2191439967505972E-4</v>
      </c>
      <c r="Y179" s="43"/>
      <c r="Z179" s="388">
        <f t="shared" si="38"/>
        <v>0.32121899863980063</v>
      </c>
      <c r="AA179" s="43"/>
      <c r="AB179" s="462">
        <f>IF('TAR_Tab 2_Volumina'!C182="storage",1,0)</f>
        <v>0</v>
      </c>
      <c r="AC179" s="389">
        <f t="shared" si="37"/>
        <v>0.32121899863980063</v>
      </c>
      <c r="AD179" s="389">
        <f t="shared" si="39"/>
        <v>0.34283418705962526</v>
      </c>
      <c r="AE179" s="43"/>
      <c r="AF179" s="1027">
        <f t="shared" si="40"/>
        <v>0.34283418705962526</v>
      </c>
      <c r="AG179" s="392">
        <f t="shared" si="41"/>
        <v>0.34300000000000003</v>
      </c>
      <c r="AH179" s="392">
        <f>AG179+'TAR_Tab 14_Overige tarieven'!$AA$14+'TAR_Tab 14_Overige tarieven'!$AA$15</f>
        <v>0.52300000000000002</v>
      </c>
      <c r="AI179" s="43"/>
    </row>
    <row r="180" spans="1:35">
      <c r="A180" s="96">
        <v>300491</v>
      </c>
      <c r="B180" s="1286" t="s">
        <v>789</v>
      </c>
      <c r="C180" s="1022"/>
      <c r="D180" s="1358"/>
      <c r="E180" s="1022"/>
      <c r="F180" s="1032">
        <v>1.3576938392762452</v>
      </c>
      <c r="G180" s="390">
        <f t="shared" si="32"/>
        <v>1.291981457455275</v>
      </c>
      <c r="H180" s="390">
        <f t="shared" si="33"/>
        <v>1.3221763632272729</v>
      </c>
      <c r="I180" s="387"/>
      <c r="J180" s="388">
        <f t="shared" si="34"/>
        <v>1.2560675450659093</v>
      </c>
      <c r="K180" s="388">
        <f t="shared" si="35"/>
        <v>1.3882851813886365</v>
      </c>
      <c r="L180" s="1316">
        <v>1.3323985305834465</v>
      </c>
      <c r="M180" s="61" t="b">
        <f t="shared" si="45"/>
        <v>1</v>
      </c>
      <c r="N180" s="857">
        <f t="shared" si="36"/>
        <v>1.3323985305834465</v>
      </c>
      <c r="O180" s="15"/>
      <c r="P180" s="445">
        <f t="shared" si="42"/>
        <v>-6.1793790998043163E-2</v>
      </c>
      <c r="Q180" s="445">
        <f t="shared" si="43"/>
        <v>6.3940107840786811E-2</v>
      </c>
      <c r="R180" s="445">
        <f t="shared" si="44"/>
        <v>0</v>
      </c>
      <c r="S180" s="445">
        <f t="shared" si="44"/>
        <v>2.40878384093562E-3</v>
      </c>
      <c r="T180" s="445">
        <f t="shared" si="44"/>
        <v>5.5786976511029138E-2</v>
      </c>
      <c r="U180" s="445">
        <f t="shared" si="44"/>
        <v>-7.3008748312743104E-3</v>
      </c>
      <c r="V180" s="445">
        <f t="shared" si="44"/>
        <v>-2.7466715435454404E-4</v>
      </c>
      <c r="W180" s="445">
        <f t="shared" si="44"/>
        <v>-2.2710158271392531E-2</v>
      </c>
      <c r="X180" s="445">
        <f t="shared" si="44"/>
        <v>1.791909504890745E-3</v>
      </c>
      <c r="Y180" s="43"/>
      <c r="Z180" s="388">
        <f t="shared" si="38"/>
        <v>1.3642468170260242</v>
      </c>
      <c r="AA180" s="43"/>
      <c r="AB180" s="462">
        <f>IF('TAR_Tab 2_Volumina'!C183="storage",1,0)</f>
        <v>0</v>
      </c>
      <c r="AC180" s="389">
        <f t="shared" si="37"/>
        <v>1.3642468170260242</v>
      </c>
      <c r="AD180" s="389">
        <f t="shared" si="39"/>
        <v>1.4560485227969535</v>
      </c>
      <c r="AE180" s="43"/>
      <c r="AF180" s="1027">
        <f t="shared" si="40"/>
        <v>1.4560485227969535</v>
      </c>
      <c r="AG180" s="392">
        <f t="shared" si="41"/>
        <v>1.456</v>
      </c>
      <c r="AH180" s="392">
        <f>AG180+'TAR_Tab 14_Overige tarieven'!$AA$14+'TAR_Tab 14_Overige tarieven'!$AA$15</f>
        <v>1.6359999999999999</v>
      </c>
      <c r="AI180" s="43"/>
    </row>
    <row r="181" spans="1:35">
      <c r="A181" s="96">
        <v>300492</v>
      </c>
      <c r="B181" s="1286" t="s">
        <v>790</v>
      </c>
      <c r="C181" s="1022"/>
      <c r="D181" s="1358"/>
      <c r="E181" s="1022"/>
      <c r="F181" s="1032">
        <v>1.6059243079286571</v>
      </c>
      <c r="G181" s="390">
        <f t="shared" si="32"/>
        <v>1.5281975714249101</v>
      </c>
      <c r="H181" s="390">
        <f t="shared" si="33"/>
        <v>1.5639130853000531</v>
      </c>
      <c r="I181" s="387"/>
      <c r="J181" s="388">
        <f t="shared" si="34"/>
        <v>1.4857174310350505</v>
      </c>
      <c r="K181" s="388">
        <f t="shared" si="35"/>
        <v>1.6421087395650558</v>
      </c>
      <c r="L181" s="1316">
        <v>1.5760041963901239</v>
      </c>
      <c r="M181" s="61" t="b">
        <f t="shared" si="45"/>
        <v>1</v>
      </c>
      <c r="N181" s="857">
        <f t="shared" si="36"/>
        <v>1.5760041963901239</v>
      </c>
      <c r="O181" s="15"/>
      <c r="P181" s="445">
        <f t="shared" si="42"/>
        <v>-7.3091700184572547E-2</v>
      </c>
      <c r="Q181" s="445">
        <f t="shared" si="43"/>
        <v>7.5630433358847046E-2</v>
      </c>
      <c r="R181" s="445">
        <f t="shared" si="44"/>
        <v>0</v>
      </c>
      <c r="S181" s="445">
        <f t="shared" si="44"/>
        <v>2.8491876524727997E-3</v>
      </c>
      <c r="T181" s="445">
        <f t="shared" si="44"/>
        <v>6.5986645187006865E-2</v>
      </c>
      <c r="U181" s="445">
        <f t="shared" si="44"/>
        <v>-8.6357115437292447E-3</v>
      </c>
      <c r="V181" s="445">
        <f t="shared" si="44"/>
        <v>-3.2488521860178139E-4</v>
      </c>
      <c r="W181" s="445">
        <f t="shared" si="44"/>
        <v>-2.6862311774485212E-2</v>
      </c>
      <c r="X181" s="445">
        <f t="shared" si="44"/>
        <v>2.1195286803735304E-3</v>
      </c>
      <c r="Y181" s="43"/>
      <c r="Z181" s="388">
        <f t="shared" si="38"/>
        <v>1.6136753825474353</v>
      </c>
      <c r="AA181" s="43"/>
      <c r="AB181" s="462">
        <f>IF('TAR_Tab 2_Volumina'!C184="storage",1,0)</f>
        <v>0</v>
      </c>
      <c r="AC181" s="389">
        <f t="shared" si="37"/>
        <v>1.6136753825474353</v>
      </c>
      <c r="AD181" s="389">
        <f t="shared" si="39"/>
        <v>1.7222614175886193</v>
      </c>
      <c r="AE181" s="43"/>
      <c r="AF181" s="1027">
        <f t="shared" si="40"/>
        <v>1.7222614175886193</v>
      </c>
      <c r="AG181" s="392">
        <f t="shared" si="41"/>
        <v>1.722</v>
      </c>
      <c r="AH181" s="392">
        <f>AG181+'TAR_Tab 14_Overige tarieven'!$AA$14+'TAR_Tab 14_Overige tarieven'!$AA$15</f>
        <v>1.9019999999999999</v>
      </c>
      <c r="AI181" s="43"/>
    </row>
    <row r="182" spans="1:35">
      <c r="A182" s="96">
        <v>300495</v>
      </c>
      <c r="B182" s="1286" t="s">
        <v>248</v>
      </c>
      <c r="C182" s="1022"/>
      <c r="D182" s="1358"/>
      <c r="E182" s="1022"/>
      <c r="F182" s="1032">
        <v>1.4417270895819332</v>
      </c>
      <c r="G182" s="390">
        <f t="shared" si="32"/>
        <v>1.3719474984461677</v>
      </c>
      <c r="H182" s="390">
        <f t="shared" si="33"/>
        <v>1.404011291003457</v>
      </c>
      <c r="I182" s="387"/>
      <c r="J182" s="388">
        <f t="shared" si="34"/>
        <v>1.3338107264532841</v>
      </c>
      <c r="K182" s="388">
        <f t="shared" si="35"/>
        <v>1.4742118555536299</v>
      </c>
      <c r="L182" s="1316">
        <v>1.4148661502989015</v>
      </c>
      <c r="M182" s="61" t="b">
        <f t="shared" si="45"/>
        <v>1</v>
      </c>
      <c r="N182" s="857">
        <f t="shared" si="36"/>
        <v>1.4148661502989015</v>
      </c>
      <c r="O182" s="15"/>
      <c r="P182" s="445">
        <f t="shared" si="42"/>
        <v>-6.5618462625811655E-2</v>
      </c>
      <c r="Q182" s="445">
        <f t="shared" si="43"/>
        <v>6.7897623836898124E-2</v>
      </c>
      <c r="R182" s="445">
        <f t="shared" si="44"/>
        <v>0</v>
      </c>
      <c r="S182" s="445">
        <f t="shared" si="44"/>
        <v>2.5578733702403588E-3</v>
      </c>
      <c r="T182" s="445">
        <f t="shared" si="44"/>
        <v>5.923986170895261E-2</v>
      </c>
      <c r="U182" s="445">
        <f t="shared" si="44"/>
        <v>-7.7527559729564603E-3</v>
      </c>
      <c r="V182" s="445">
        <f t="shared" si="44"/>
        <v>-2.9166743311026885E-4</v>
      </c>
      <c r="W182" s="445">
        <f t="shared" si="44"/>
        <v>-2.4115783279987285E-2</v>
      </c>
      <c r="X182" s="445">
        <f t="shared" si="44"/>
        <v>1.9028181468787621E-3</v>
      </c>
      <c r="Y182" s="43"/>
      <c r="Z182" s="388">
        <f t="shared" si="38"/>
        <v>1.4486856580500056</v>
      </c>
      <c r="AA182" s="43"/>
      <c r="AB182" s="462">
        <f>IF('TAR_Tab 2_Volumina'!C185="storage",1,0)</f>
        <v>0</v>
      </c>
      <c r="AC182" s="389">
        <f t="shared" si="37"/>
        <v>1.4486856580500056</v>
      </c>
      <c r="AD182" s="389">
        <f t="shared" si="39"/>
        <v>1.5461693485927375</v>
      </c>
      <c r="AE182" s="43"/>
      <c r="AF182" s="1027">
        <f t="shared" si="40"/>
        <v>1.5461693485927375</v>
      </c>
      <c r="AG182" s="392">
        <f t="shared" si="41"/>
        <v>1.546</v>
      </c>
      <c r="AH182" s="392">
        <f>AG182+'TAR_Tab 14_Overige tarieven'!$AA$14+'TAR_Tab 14_Overige tarieven'!$AA$15</f>
        <v>1.726</v>
      </c>
      <c r="AI182" s="43"/>
    </row>
    <row r="183" spans="1:35">
      <c r="A183" s="96">
        <v>300500</v>
      </c>
      <c r="B183" s="1286" t="s">
        <v>279</v>
      </c>
      <c r="C183" s="1022"/>
      <c r="D183" s="1358"/>
      <c r="E183" s="1022"/>
      <c r="F183" s="1032">
        <v>1.0309110437702351</v>
      </c>
      <c r="G183" s="390">
        <f t="shared" si="32"/>
        <v>0.9810149492517557</v>
      </c>
      <c r="H183" s="390">
        <f t="shared" si="33"/>
        <v>1.0039422550444579</v>
      </c>
      <c r="I183" s="387"/>
      <c r="J183" s="388">
        <f t="shared" si="34"/>
        <v>0.95374514229223495</v>
      </c>
      <c r="K183" s="388">
        <f t="shared" si="35"/>
        <v>1.0541393677966808</v>
      </c>
      <c r="L183" s="1316">
        <v>1.0117040529652355</v>
      </c>
      <c r="M183" s="61" t="b">
        <f t="shared" si="45"/>
        <v>1</v>
      </c>
      <c r="N183" s="857">
        <f t="shared" si="36"/>
        <v>1.0117040529652355</v>
      </c>
      <c r="O183" s="15"/>
      <c r="P183" s="445">
        <f t="shared" si="42"/>
        <v>-4.6920667777553951E-2</v>
      </c>
      <c r="Q183" s="445">
        <f t="shared" si="43"/>
        <v>4.855038846465231E-2</v>
      </c>
      <c r="R183" s="445">
        <f t="shared" si="44"/>
        <v>0</v>
      </c>
      <c r="S183" s="445">
        <f t="shared" si="44"/>
        <v>1.829014606856855E-3</v>
      </c>
      <c r="T183" s="445">
        <f t="shared" si="44"/>
        <v>4.2359631103893507E-2</v>
      </c>
      <c r="U183" s="445">
        <f t="shared" si="44"/>
        <v>-5.5436301432707884E-3</v>
      </c>
      <c r="V183" s="445">
        <f t="shared" si="44"/>
        <v>-2.0855762513880731E-4</v>
      </c>
      <c r="W183" s="445">
        <f t="shared" si="44"/>
        <v>-1.7244059220471224E-2</v>
      </c>
      <c r="X183" s="445">
        <f t="shared" si="44"/>
        <v>1.3606155118251661E-3</v>
      </c>
      <c r="Y183" s="43"/>
      <c r="Z183" s="388">
        <f t="shared" si="38"/>
        <v>1.0358867878860285</v>
      </c>
      <c r="AA183" s="43"/>
      <c r="AB183" s="462">
        <f>IF('TAR_Tab 2_Volumina'!C186="storage",1,0)</f>
        <v>0</v>
      </c>
      <c r="AC183" s="389">
        <f t="shared" si="37"/>
        <v>1.0358867878860285</v>
      </c>
      <c r="AD183" s="389">
        <f t="shared" si="39"/>
        <v>1.1055927772471106</v>
      </c>
      <c r="AE183" s="43"/>
      <c r="AF183" s="1027">
        <f t="shared" si="40"/>
        <v>1.1055927772471106</v>
      </c>
      <c r="AG183" s="392">
        <f t="shared" si="41"/>
        <v>1.1060000000000001</v>
      </c>
      <c r="AH183" s="392">
        <f>AG183+'TAR_Tab 14_Overige tarieven'!$AA$14+'TAR_Tab 14_Overige tarieven'!$AA$15</f>
        <v>1.286</v>
      </c>
      <c r="AI183" s="43"/>
    </row>
    <row r="184" spans="1:35">
      <c r="A184" s="96">
        <v>300501</v>
      </c>
      <c r="B184" s="1286" t="s">
        <v>249</v>
      </c>
      <c r="C184" s="1022"/>
      <c r="D184" s="1358"/>
      <c r="E184" s="1022"/>
      <c r="F184" s="1032">
        <v>0.98106288609894199</v>
      </c>
      <c r="G184" s="390">
        <f t="shared" si="32"/>
        <v>0.93357944241175317</v>
      </c>
      <c r="H184" s="390">
        <f t="shared" si="33"/>
        <v>0.95539813271232443</v>
      </c>
      <c r="I184" s="387"/>
      <c r="J184" s="388">
        <f t="shared" si="34"/>
        <v>0.90762822607670812</v>
      </c>
      <c r="K184" s="388">
        <f t="shared" si="35"/>
        <v>1.0031680393479407</v>
      </c>
      <c r="L184" s="1316">
        <v>0.96278462053345204</v>
      </c>
      <c r="M184" s="61" t="b">
        <f t="shared" si="45"/>
        <v>1</v>
      </c>
      <c r="N184" s="857">
        <f t="shared" si="36"/>
        <v>0.96278462053345204</v>
      </c>
      <c r="O184" s="15"/>
      <c r="P184" s="445">
        <f t="shared" si="42"/>
        <v>-4.4651889244670999E-2</v>
      </c>
      <c r="Q184" s="445">
        <f t="shared" si="43"/>
        <v>4.620280723170947E-2</v>
      </c>
      <c r="R184" s="445">
        <f t="shared" si="44"/>
        <v>0</v>
      </c>
      <c r="S184" s="445">
        <f t="shared" si="44"/>
        <v>1.7405753481481096E-3</v>
      </c>
      <c r="T184" s="445">
        <f t="shared" si="44"/>
        <v>4.0311394660094861E-2</v>
      </c>
      <c r="U184" s="445">
        <f t="shared" si="44"/>
        <v>-5.2755762203615247E-3</v>
      </c>
      <c r="V184" s="445">
        <f t="shared" si="44"/>
        <v>-1.9847313390719841E-4</v>
      </c>
      <c r="W184" s="445">
        <f t="shared" si="44"/>
        <v>-1.6410248594317191E-2</v>
      </c>
      <c r="X184" s="445">
        <f t="shared" si="44"/>
        <v>1.2948249889926408E-3</v>
      </c>
      <c r="Y184" s="43"/>
      <c r="Z184" s="388">
        <f t="shared" si="38"/>
        <v>0.98579803556914025</v>
      </c>
      <c r="AA184" s="43"/>
      <c r="AB184" s="462">
        <f>IF('TAR_Tab 2_Volumina'!C187="storage",1,0)</f>
        <v>0</v>
      </c>
      <c r="AC184" s="389">
        <f t="shared" si="37"/>
        <v>0.98579803556914025</v>
      </c>
      <c r="AD184" s="389">
        <f t="shared" si="39"/>
        <v>1.0521334963387379</v>
      </c>
      <c r="AE184" s="43"/>
      <c r="AF184" s="1027">
        <f t="shared" si="40"/>
        <v>1.0521334963387379</v>
      </c>
      <c r="AG184" s="392">
        <f t="shared" si="41"/>
        <v>1.052</v>
      </c>
      <c r="AH184" s="392">
        <f>AG184+'TAR_Tab 14_Overige tarieven'!$AA$14+'TAR_Tab 14_Overige tarieven'!$AA$15</f>
        <v>1.232</v>
      </c>
      <c r="AI184" s="43"/>
    </row>
    <row r="185" spans="1:35">
      <c r="A185" s="96">
        <v>300507</v>
      </c>
      <c r="B185" s="1286" t="s">
        <v>125</v>
      </c>
      <c r="C185" s="1022"/>
      <c r="D185" s="1358"/>
      <c r="E185" s="1022"/>
      <c r="F185" s="1032">
        <v>1.546866522514601</v>
      </c>
      <c r="G185" s="390">
        <f t="shared" si="32"/>
        <v>1.4719981828248943</v>
      </c>
      <c r="H185" s="390">
        <f t="shared" si="33"/>
        <v>1.5064002604789295</v>
      </c>
      <c r="I185" s="387"/>
      <c r="J185" s="388">
        <f t="shared" si="34"/>
        <v>1.4310802474549829</v>
      </c>
      <c r="K185" s="388">
        <f t="shared" si="35"/>
        <v>1.5817202735028761</v>
      </c>
      <c r="L185" s="1316">
        <v>1.5180467215685927</v>
      </c>
      <c r="M185" s="61" t="b">
        <f t="shared" si="45"/>
        <v>1</v>
      </c>
      <c r="N185" s="857">
        <f t="shared" si="36"/>
        <v>1.5180467215685927</v>
      </c>
      <c r="O185" s="15"/>
      <c r="P185" s="445">
        <f t="shared" si="42"/>
        <v>-7.0403756597357856E-2</v>
      </c>
      <c r="Q185" s="445">
        <f t="shared" si="43"/>
        <v>7.2849127987213491E-2</v>
      </c>
      <c r="R185" s="445">
        <f t="shared" si="44"/>
        <v>0</v>
      </c>
      <c r="S185" s="445">
        <f t="shared" si="44"/>
        <v>2.744408920278908E-3</v>
      </c>
      <c r="T185" s="445">
        <f t="shared" si="44"/>
        <v>6.3559989638916833E-2</v>
      </c>
      <c r="U185" s="445">
        <f t="shared" si="44"/>
        <v>-8.3181336873325989E-3</v>
      </c>
      <c r="V185" s="445">
        <f t="shared" si="44"/>
        <v>-3.1293758107636747E-4</v>
      </c>
      <c r="W185" s="445">
        <f t="shared" si="44"/>
        <v>-2.5874451614033924E-2</v>
      </c>
      <c r="X185" s="445">
        <f t="shared" si="44"/>
        <v>2.0415831200713205E-3</v>
      </c>
      <c r="Y185" s="43"/>
      <c r="Z185" s="388">
        <f t="shared" si="38"/>
        <v>1.5543325517552724</v>
      </c>
      <c r="AA185" s="43"/>
      <c r="AB185" s="462">
        <f>IF('TAR_Tab 2_Volumina'!C188="storage",1,0)</f>
        <v>0</v>
      </c>
      <c r="AC185" s="389">
        <f t="shared" si="37"/>
        <v>1.5543325517552724</v>
      </c>
      <c r="AD185" s="389">
        <f t="shared" si="39"/>
        <v>1.658925340835383</v>
      </c>
      <c r="AE185" s="43"/>
      <c r="AF185" s="1027">
        <f t="shared" si="40"/>
        <v>1.658925340835383</v>
      </c>
      <c r="AG185" s="392">
        <f t="shared" si="41"/>
        <v>1.659</v>
      </c>
      <c r="AH185" s="392">
        <f>AG185+'TAR_Tab 14_Overige tarieven'!$AA$14+'TAR_Tab 14_Overige tarieven'!$AA$15</f>
        <v>1.839</v>
      </c>
      <c r="AI185" s="43"/>
    </row>
    <row r="186" spans="1:35">
      <c r="A186" s="96">
        <v>300516</v>
      </c>
      <c r="B186" s="1286" t="s">
        <v>791</v>
      </c>
      <c r="C186" s="1022"/>
      <c r="D186" s="1358"/>
      <c r="E186" s="1022"/>
      <c r="F186" s="1032">
        <v>1.0533279224640697</v>
      </c>
      <c r="G186" s="390">
        <f t="shared" si="32"/>
        <v>1.0023468510168088</v>
      </c>
      <c r="H186" s="390">
        <f t="shared" si="33"/>
        <v>1.0257727048033822</v>
      </c>
      <c r="I186" s="387"/>
      <c r="J186" s="388">
        <f t="shared" si="34"/>
        <v>0.9744840695632131</v>
      </c>
      <c r="K186" s="388">
        <f t="shared" si="35"/>
        <v>1.0770613400435514</v>
      </c>
      <c r="L186" s="1316">
        <v>1.0337032808971045</v>
      </c>
      <c r="M186" s="61" t="b">
        <f t="shared" si="45"/>
        <v>1</v>
      </c>
      <c r="N186" s="857">
        <f t="shared" si="36"/>
        <v>1.0337032808971045</v>
      </c>
      <c r="O186" s="15"/>
      <c r="P186" s="445">
        <f t="shared" si="42"/>
        <v>-4.794094486562981E-2</v>
      </c>
      <c r="Q186" s="445">
        <f t="shared" si="43"/>
        <v>4.9606103383342447E-2</v>
      </c>
      <c r="R186" s="445">
        <f t="shared" si="44"/>
        <v>0</v>
      </c>
      <c r="S186" s="445">
        <f t="shared" si="44"/>
        <v>1.8687860292496291E-3</v>
      </c>
      <c r="T186" s="445">
        <f t="shared" si="44"/>
        <v>4.3280729696938747E-2</v>
      </c>
      <c r="U186" s="445">
        <f t="shared" si="44"/>
        <v>-5.664174864559935E-3</v>
      </c>
      <c r="V186" s="445">
        <f t="shared" si="44"/>
        <v>-2.1309265365718725E-4</v>
      </c>
      <c r="W186" s="445">
        <f t="shared" si="44"/>
        <v>-1.76190265719906E-2</v>
      </c>
      <c r="X186" s="445">
        <f t="shared" si="44"/>
        <v>1.3902017240030736E-3</v>
      </c>
      <c r="Y186" s="43"/>
      <c r="Z186" s="388">
        <f t="shared" si="38"/>
        <v>1.0584118627748009</v>
      </c>
      <c r="AA186" s="43"/>
      <c r="AB186" s="462">
        <f>IF('TAR_Tab 2_Volumina'!C189="storage",1,0)</f>
        <v>0</v>
      </c>
      <c r="AC186" s="389">
        <f t="shared" si="37"/>
        <v>1.0584118627748009</v>
      </c>
      <c r="AD186" s="389">
        <f t="shared" si="39"/>
        <v>1.1296335898100343</v>
      </c>
      <c r="AE186" s="43"/>
      <c r="AF186" s="1027">
        <f t="shared" si="40"/>
        <v>1.1296335898100343</v>
      </c>
      <c r="AG186" s="392">
        <f t="shared" si="41"/>
        <v>1.1299999999999999</v>
      </c>
      <c r="AH186" s="392">
        <f>AG186+'TAR_Tab 14_Overige tarieven'!$AA$14+'TAR_Tab 14_Overige tarieven'!$AA$15</f>
        <v>1.3099999999999998</v>
      </c>
      <c r="AI186" s="43"/>
    </row>
    <row r="187" spans="1:35">
      <c r="A187" s="96">
        <v>300524</v>
      </c>
      <c r="B187" s="1286" t="s">
        <v>126</v>
      </c>
      <c r="C187" s="1022"/>
      <c r="D187" s="1358"/>
      <c r="E187" s="1022"/>
      <c r="F187" s="1032">
        <v>1.6106392941527574</v>
      </c>
      <c r="G187" s="390">
        <f t="shared" si="32"/>
        <v>1.5326843523157641</v>
      </c>
      <c r="H187" s="390">
        <f t="shared" si="33"/>
        <v>1.5685047267718675</v>
      </c>
      <c r="I187" s="387"/>
      <c r="J187" s="388">
        <f t="shared" si="34"/>
        <v>1.4900794904332739</v>
      </c>
      <c r="K187" s="388">
        <f t="shared" si="35"/>
        <v>1.646929963110461</v>
      </c>
      <c r="L187" s="1316">
        <v>1.5806313373072995</v>
      </c>
      <c r="M187" s="61" t="b">
        <f t="shared" si="45"/>
        <v>1</v>
      </c>
      <c r="N187" s="857">
        <f t="shared" si="36"/>
        <v>1.5806313373072995</v>
      </c>
      <c r="O187" s="15"/>
      <c r="P187" s="445">
        <f t="shared" si="42"/>
        <v>-7.3306297072959423E-2</v>
      </c>
      <c r="Q187" s="445">
        <f t="shared" si="43"/>
        <v>7.5852483955907657E-2</v>
      </c>
      <c r="R187" s="445">
        <f t="shared" si="44"/>
        <v>0</v>
      </c>
      <c r="S187" s="445">
        <f t="shared" si="44"/>
        <v>2.8575528540361367E-3</v>
      </c>
      <c r="T187" s="445">
        <f t="shared" si="44"/>
        <v>6.6180381667297533E-2</v>
      </c>
      <c r="U187" s="445">
        <f t="shared" si="44"/>
        <v>-8.6610659522545781E-3</v>
      </c>
      <c r="V187" s="445">
        <f t="shared" si="44"/>
        <v>-3.2583908007741776E-4</v>
      </c>
      <c r="W187" s="445">
        <f t="shared" si="44"/>
        <v>-2.6941179395666901E-2</v>
      </c>
      <c r="X187" s="445">
        <f t="shared" si="44"/>
        <v>2.125751606622425E-3</v>
      </c>
      <c r="Y187" s="43"/>
      <c r="Z187" s="388">
        <f t="shared" si="38"/>
        <v>1.618413125890205</v>
      </c>
      <c r="AA187" s="43"/>
      <c r="AB187" s="462">
        <f>IF('TAR_Tab 2_Volumina'!C190="storage",1,0)</f>
        <v>0</v>
      </c>
      <c r="AC187" s="389">
        <f t="shared" si="37"/>
        <v>1.618413125890205</v>
      </c>
      <c r="AD187" s="389">
        <f t="shared" si="39"/>
        <v>1.727317969020177</v>
      </c>
      <c r="AE187" s="43"/>
      <c r="AF187" s="1027">
        <f t="shared" si="40"/>
        <v>1.727317969020177</v>
      </c>
      <c r="AG187" s="392">
        <f t="shared" si="41"/>
        <v>1.7270000000000001</v>
      </c>
      <c r="AH187" s="392">
        <f>AG187+'TAR_Tab 14_Overige tarieven'!$AA$14+'TAR_Tab 14_Overige tarieven'!$AA$15</f>
        <v>1.907</v>
      </c>
      <c r="AI187" s="43"/>
    </row>
    <row r="188" spans="1:35">
      <c r="A188" s="96">
        <v>300527</v>
      </c>
      <c r="B188" s="1286" t="s">
        <v>250</v>
      </c>
      <c r="C188" s="1022"/>
      <c r="D188" s="1358"/>
      <c r="E188" s="1022"/>
      <c r="F188" s="1032">
        <v>1.5153789625692333</v>
      </c>
      <c r="G188" s="390">
        <f t="shared" si="32"/>
        <v>1.4420346207808825</v>
      </c>
      <c r="H188" s="390">
        <f t="shared" si="33"/>
        <v>1.475736419861033</v>
      </c>
      <c r="I188" s="387"/>
      <c r="J188" s="388">
        <f t="shared" si="34"/>
        <v>1.4019495988679813</v>
      </c>
      <c r="K188" s="388">
        <f t="shared" si="35"/>
        <v>1.5495232408540847</v>
      </c>
      <c r="L188" s="1316">
        <v>1.4871458090143821</v>
      </c>
      <c r="M188" s="61" t="b">
        <f t="shared" si="45"/>
        <v>1</v>
      </c>
      <c r="N188" s="857">
        <f t="shared" si="36"/>
        <v>1.4871458090143821</v>
      </c>
      <c r="O188" s="15"/>
      <c r="P188" s="445">
        <f t="shared" si="42"/>
        <v>-6.8970638436241641E-2</v>
      </c>
      <c r="Q188" s="445">
        <f t="shared" si="43"/>
        <v>7.1366232565353668E-2</v>
      </c>
      <c r="R188" s="445">
        <f t="shared" si="44"/>
        <v>0</v>
      </c>
      <c r="S188" s="445">
        <f t="shared" si="44"/>
        <v>2.6885445395232847E-3</v>
      </c>
      <c r="T188" s="445">
        <f t="shared" si="44"/>
        <v>6.2266181185018095E-2</v>
      </c>
      <c r="U188" s="445">
        <f t="shared" si="44"/>
        <v>-8.1488122046440414E-3</v>
      </c>
      <c r="V188" s="445">
        <f t="shared" si="44"/>
        <v>-3.0656751572174189E-4</v>
      </c>
      <c r="W188" s="445">
        <f t="shared" si="44"/>
        <v>-2.5347758887549691E-2</v>
      </c>
      <c r="X188" s="445">
        <f t="shared" si="44"/>
        <v>2.0000252545793488E-3</v>
      </c>
      <c r="Y188" s="43"/>
      <c r="Z188" s="388">
        <f t="shared" si="38"/>
        <v>1.5226930155146994</v>
      </c>
      <c r="AA188" s="43"/>
      <c r="AB188" s="462">
        <f>IF('TAR_Tab 2_Volumina'!C191="storage",1,0)</f>
        <v>0</v>
      </c>
      <c r="AC188" s="389">
        <f t="shared" si="37"/>
        <v>1.5226930155146994</v>
      </c>
      <c r="AD188" s="389">
        <f t="shared" si="39"/>
        <v>1.6251567445446518</v>
      </c>
      <c r="AE188" s="43"/>
      <c r="AF188" s="1027">
        <f t="shared" si="40"/>
        <v>1.6251567445446518</v>
      </c>
      <c r="AG188" s="392">
        <f t="shared" si="41"/>
        <v>1.625</v>
      </c>
      <c r="AH188" s="392">
        <f>AG188+'TAR_Tab 14_Overige tarieven'!$AA$14+'TAR_Tab 14_Overige tarieven'!$AA$15</f>
        <v>1.8049999999999999</v>
      </c>
      <c r="AI188" s="43"/>
    </row>
    <row r="189" spans="1:35">
      <c r="A189" s="96">
        <v>300530</v>
      </c>
      <c r="B189" s="1286" t="s">
        <v>127</v>
      </c>
      <c r="C189" s="1022"/>
      <c r="D189" s="1358"/>
      <c r="E189" s="1022"/>
      <c r="F189" s="1032">
        <v>0.31967606599401921</v>
      </c>
      <c r="G189" s="390">
        <f t="shared" si="32"/>
        <v>0.30420374439990866</v>
      </c>
      <c r="H189" s="390">
        <f t="shared" si="33"/>
        <v>0.31131329178902989</v>
      </c>
      <c r="I189" s="387"/>
      <c r="J189" s="388">
        <f t="shared" si="34"/>
        <v>0.29574762719957837</v>
      </c>
      <c r="K189" s="388">
        <f t="shared" si="35"/>
        <v>0.32687895637848141</v>
      </c>
      <c r="L189" s="1316">
        <v>0.31752937940144904</v>
      </c>
      <c r="M189" s="61" t="b">
        <f t="shared" si="45"/>
        <v>1</v>
      </c>
      <c r="N189" s="857">
        <f t="shared" si="36"/>
        <v>0.31752937940144904</v>
      </c>
      <c r="O189" s="15"/>
      <c r="P189" s="445">
        <f t="shared" si="42"/>
        <v>-1.4726332742110926E-2</v>
      </c>
      <c r="Q189" s="445">
        <f t="shared" si="43"/>
        <v>1.5237830345441994E-2</v>
      </c>
      <c r="R189" s="445">
        <f t="shared" si="44"/>
        <v>0</v>
      </c>
      <c r="S189" s="445">
        <f t="shared" si="44"/>
        <v>5.7404719426521757E-4</v>
      </c>
      <c r="T189" s="445">
        <f t="shared" si="44"/>
        <v>1.3294824051234489E-2</v>
      </c>
      <c r="U189" s="445">
        <f t="shared" si="44"/>
        <v>-1.7399015392542136E-3</v>
      </c>
      <c r="V189" s="445">
        <f t="shared" si="44"/>
        <v>-6.545706037815104E-5</v>
      </c>
      <c r="W189" s="445">
        <f t="shared" si="44"/>
        <v>-5.4121513169683956E-3</v>
      </c>
      <c r="X189" s="445">
        <f t="shared" si="44"/>
        <v>4.2703733152749926E-4</v>
      </c>
      <c r="Y189" s="43"/>
      <c r="Z189" s="388">
        <f t="shared" si="38"/>
        <v>0.32511927566520654</v>
      </c>
      <c r="AA189" s="43"/>
      <c r="AB189" s="462">
        <f>IF('TAR_Tab 2_Volumina'!C192="storage",1,0)</f>
        <v>0</v>
      </c>
      <c r="AC189" s="389">
        <f t="shared" si="37"/>
        <v>0.32511927566520654</v>
      </c>
      <c r="AD189" s="389">
        <f t="shared" si="39"/>
        <v>0.34699691812153166</v>
      </c>
      <c r="AE189" s="43"/>
      <c r="AF189" s="1027">
        <f t="shared" si="40"/>
        <v>0.34699691812153166</v>
      </c>
      <c r="AG189" s="392">
        <f t="shared" si="41"/>
        <v>0.34699999999999998</v>
      </c>
      <c r="AH189" s="392">
        <f>AG189+'TAR_Tab 14_Overige tarieven'!$AA$14+'TAR_Tab 14_Overige tarieven'!$AA$15</f>
        <v>0.52699999999999991</v>
      </c>
      <c r="AI189" s="43"/>
    </row>
    <row r="190" spans="1:35">
      <c r="A190" s="96">
        <v>300533</v>
      </c>
      <c r="B190" s="1286" t="s">
        <v>128</v>
      </c>
      <c r="C190" s="1022"/>
      <c r="D190" s="1358"/>
      <c r="E190" s="1022"/>
      <c r="F190" s="1032">
        <v>1.729262548459229</v>
      </c>
      <c r="G190" s="390">
        <f t="shared" si="32"/>
        <v>1.6455662411138023</v>
      </c>
      <c r="H190" s="390">
        <f t="shared" si="33"/>
        <v>1.6840247788159444</v>
      </c>
      <c r="I190" s="387"/>
      <c r="J190" s="388">
        <f t="shared" si="34"/>
        <v>1.599823539875147</v>
      </c>
      <c r="K190" s="388">
        <f t="shared" si="35"/>
        <v>1.7682260177567417</v>
      </c>
      <c r="L190" s="1316">
        <v>1.6970445117349184</v>
      </c>
      <c r="M190" s="61" t="b">
        <f t="shared" si="45"/>
        <v>1</v>
      </c>
      <c r="N190" s="857">
        <f t="shared" si="36"/>
        <v>1.6970445117349184</v>
      </c>
      <c r="O190" s="15"/>
      <c r="P190" s="445">
        <f t="shared" si="42"/>
        <v>-7.8705290846128026E-2</v>
      </c>
      <c r="Q190" s="445">
        <f t="shared" si="43"/>
        <v>8.1439003871785112E-2</v>
      </c>
      <c r="R190" s="445">
        <f t="shared" si="44"/>
        <v>0</v>
      </c>
      <c r="S190" s="445">
        <f t="shared" si="44"/>
        <v>3.0680110367770595E-3</v>
      </c>
      <c r="T190" s="445">
        <f t="shared" si="44"/>
        <v>7.1054553229558337E-2</v>
      </c>
      <c r="U190" s="445">
        <f t="shared" si="44"/>
        <v>-9.2989516866640691E-3</v>
      </c>
      <c r="V190" s="445">
        <f t="shared" si="44"/>
        <v>-3.4983706162383373E-4</v>
      </c>
      <c r="W190" s="445">
        <f t="shared" si="44"/>
        <v>-2.8925391743130816E-2</v>
      </c>
      <c r="X190" s="445">
        <f t="shared" si="44"/>
        <v>2.2823127772955937E-3</v>
      </c>
      <c r="Y190" s="43"/>
      <c r="Z190" s="388">
        <f t="shared" si="38"/>
        <v>1.7376089213127879</v>
      </c>
      <c r="AA190" s="43"/>
      <c r="AB190" s="462">
        <f>IF('TAR_Tab 2_Volumina'!C193="storage",1,0)</f>
        <v>0</v>
      </c>
      <c r="AC190" s="389">
        <f t="shared" si="37"/>
        <v>1.7376089213127879</v>
      </c>
      <c r="AD190" s="389">
        <f t="shared" si="39"/>
        <v>1.8545345838457836</v>
      </c>
      <c r="AE190" s="43"/>
      <c r="AF190" s="1027">
        <f t="shared" si="40"/>
        <v>1.8545345838457836</v>
      </c>
      <c r="AG190" s="392">
        <f t="shared" si="41"/>
        <v>1.855</v>
      </c>
      <c r="AH190" s="392">
        <f>AG190+'TAR_Tab 14_Overige tarieven'!$AA$14+'TAR_Tab 14_Overige tarieven'!$AA$15</f>
        <v>2.0350000000000001</v>
      </c>
      <c r="AI190" s="43"/>
    </row>
    <row r="191" spans="1:35">
      <c r="A191" s="96">
        <v>300534</v>
      </c>
      <c r="B191" s="1286" t="s">
        <v>792</v>
      </c>
      <c r="C191" s="1022"/>
      <c r="D191" s="1358"/>
      <c r="E191" s="1022"/>
      <c r="F191" s="1032">
        <v>1.3070713993330594</v>
      </c>
      <c r="G191" s="390">
        <f t="shared" si="32"/>
        <v>1.2438091436053393</v>
      </c>
      <c r="H191" s="390">
        <f t="shared" si="33"/>
        <v>1.2728782139645112</v>
      </c>
      <c r="I191" s="387"/>
      <c r="J191" s="388">
        <f t="shared" si="34"/>
        <v>1.2092343032662856</v>
      </c>
      <c r="K191" s="388">
        <f t="shared" si="35"/>
        <v>1.3365221246627368</v>
      </c>
      <c r="L191" s="1316">
        <v>1.2827192415982323</v>
      </c>
      <c r="M191" s="61" t="b">
        <f t="shared" si="45"/>
        <v>1</v>
      </c>
      <c r="N191" s="857">
        <f t="shared" si="36"/>
        <v>1.2827192415982323</v>
      </c>
      <c r="O191" s="15"/>
      <c r="P191" s="445">
        <f t="shared" si="42"/>
        <v>-5.9489771945170564E-2</v>
      </c>
      <c r="Q191" s="445">
        <f t="shared" si="43"/>
        <v>6.1556062059996849E-2</v>
      </c>
      <c r="R191" s="445">
        <f t="shared" si="44"/>
        <v>0</v>
      </c>
      <c r="S191" s="445">
        <f t="shared" si="44"/>
        <v>2.3189708714749331E-3</v>
      </c>
      <c r="T191" s="445">
        <f t="shared" si="44"/>
        <v>5.3706925186978831E-2</v>
      </c>
      <c r="U191" s="445">
        <f t="shared" si="44"/>
        <v>-7.028657276044098E-3</v>
      </c>
      <c r="V191" s="445">
        <f t="shared" si="44"/>
        <v>-2.6442602257398685E-4</v>
      </c>
      <c r="W191" s="445">
        <f t="shared" si="44"/>
        <v>-2.1863396218022191E-2</v>
      </c>
      <c r="X191" s="445">
        <f t="shared" si="44"/>
        <v>1.7250970699582042E-3</v>
      </c>
      <c r="Y191" s="43"/>
      <c r="Z191" s="388">
        <f t="shared" si="38"/>
        <v>1.3133800453248303</v>
      </c>
      <c r="AA191" s="43"/>
      <c r="AB191" s="462">
        <f>IF('TAR_Tab 2_Volumina'!C194="storage",1,0)</f>
        <v>0</v>
      </c>
      <c r="AC191" s="389">
        <f t="shared" si="37"/>
        <v>1.3133800453248303</v>
      </c>
      <c r="AD191" s="389">
        <f t="shared" si="39"/>
        <v>1.4017588687031075</v>
      </c>
      <c r="AE191" s="43"/>
      <c r="AF191" s="1027">
        <f t="shared" si="40"/>
        <v>1.4017588687031075</v>
      </c>
      <c r="AG191" s="392">
        <f t="shared" si="41"/>
        <v>1.4019999999999999</v>
      </c>
      <c r="AH191" s="392">
        <f>AG191+'TAR_Tab 14_Overige tarieven'!$AA$14+'TAR_Tab 14_Overige tarieven'!$AA$15</f>
        <v>1.5819999999999999</v>
      </c>
      <c r="AI191" s="43"/>
    </row>
    <row r="192" spans="1:35">
      <c r="A192" s="96">
        <v>300541</v>
      </c>
      <c r="B192" s="1286" t="s">
        <v>793</v>
      </c>
      <c r="C192" s="1022"/>
      <c r="D192" s="1358"/>
      <c r="E192" s="1022"/>
      <c r="F192" s="1032">
        <v>0.81663561401422013</v>
      </c>
      <c r="G192" s="390">
        <f t="shared" si="32"/>
        <v>0.77711045029593184</v>
      </c>
      <c r="H192" s="390">
        <f t="shared" si="33"/>
        <v>0.79527230291828876</v>
      </c>
      <c r="I192" s="387"/>
      <c r="J192" s="388">
        <f t="shared" si="34"/>
        <v>0.75550868777237434</v>
      </c>
      <c r="K192" s="388">
        <f t="shared" si="35"/>
        <v>0.83503591806420319</v>
      </c>
      <c r="L192" s="1316">
        <v>0.80142080685487205</v>
      </c>
      <c r="M192" s="61" t="b">
        <f t="shared" si="45"/>
        <v>1</v>
      </c>
      <c r="N192" s="857">
        <f t="shared" si="36"/>
        <v>0.80142080685487205</v>
      </c>
      <c r="O192" s="15"/>
      <c r="P192" s="445">
        <f t="shared" si="42"/>
        <v>-3.7168181068608232E-2</v>
      </c>
      <c r="Q192" s="445">
        <f t="shared" si="43"/>
        <v>3.8459163410899319E-2</v>
      </c>
      <c r="R192" s="445">
        <f t="shared" si="44"/>
        <v>0</v>
      </c>
      <c r="S192" s="445">
        <f t="shared" si="44"/>
        <v>1.4488529107700788E-3</v>
      </c>
      <c r="T192" s="445">
        <f t="shared" si="44"/>
        <v>3.3555158386346408E-2</v>
      </c>
      <c r="U192" s="445">
        <f t="shared" si="44"/>
        <v>-4.3913835565880946E-3</v>
      </c>
      <c r="V192" s="445">
        <f t="shared" si="44"/>
        <v>-1.6520880758023643E-4</v>
      </c>
      <c r="W192" s="445">
        <f t="shared" si="44"/>
        <v>-1.3659871988669518E-2</v>
      </c>
      <c r="X192" s="445">
        <f t="shared" si="44"/>
        <v>1.0778108263085598E-3</v>
      </c>
      <c r="Y192" s="43"/>
      <c r="Z192" s="388">
        <f t="shared" si="38"/>
        <v>0.8205771469677503</v>
      </c>
      <c r="AA192" s="43"/>
      <c r="AB192" s="462">
        <f>IF('TAR_Tab 2_Volumina'!C195="storage",1,0)</f>
        <v>0</v>
      </c>
      <c r="AC192" s="389">
        <f t="shared" si="37"/>
        <v>0.8205771469677503</v>
      </c>
      <c r="AD192" s="389">
        <f t="shared" si="39"/>
        <v>0.87579470794582737</v>
      </c>
      <c r="AE192" s="43"/>
      <c r="AF192" s="1027">
        <f t="shared" si="40"/>
        <v>0.87579470794582737</v>
      </c>
      <c r="AG192" s="392">
        <f t="shared" si="41"/>
        <v>0.876</v>
      </c>
      <c r="AH192" s="392">
        <f>AG192+'TAR_Tab 14_Overige tarieven'!$AA$14+'TAR_Tab 14_Overige tarieven'!$AA$15</f>
        <v>1.056</v>
      </c>
      <c r="AI192" s="43"/>
    </row>
    <row r="193" spans="1:35">
      <c r="A193" s="96">
        <v>300542</v>
      </c>
      <c r="B193" s="1286" t="s">
        <v>251</v>
      </c>
      <c r="C193" s="1022"/>
      <c r="D193" s="1358"/>
      <c r="E193" s="1022"/>
      <c r="F193" s="1032">
        <v>0.24895127263251055</v>
      </c>
      <c r="G193" s="390">
        <f t="shared" si="32"/>
        <v>0.23690203103709703</v>
      </c>
      <c r="H193" s="390">
        <f t="shared" si="33"/>
        <v>0.24243866971181091</v>
      </c>
      <c r="I193" s="387"/>
      <c r="J193" s="388">
        <f t="shared" si="34"/>
        <v>0.23031673622622034</v>
      </c>
      <c r="K193" s="388">
        <f t="shared" si="35"/>
        <v>0.25456060319740148</v>
      </c>
      <c r="L193" s="1316">
        <v>0.24431304042688939</v>
      </c>
      <c r="M193" s="61" t="b">
        <f t="shared" si="45"/>
        <v>1</v>
      </c>
      <c r="N193" s="857">
        <f t="shared" si="36"/>
        <v>0.24431304042688939</v>
      </c>
      <c r="O193" s="15"/>
      <c r="P193" s="445">
        <f t="shared" si="42"/>
        <v>-1.1330715706827452E-2</v>
      </c>
      <c r="Q193" s="445">
        <f t="shared" si="43"/>
        <v>1.1724271524800715E-2</v>
      </c>
      <c r="R193" s="445">
        <f t="shared" si="44"/>
        <v>0</v>
      </c>
      <c r="S193" s="445">
        <f t="shared" si="44"/>
        <v>4.4168264254422723E-4</v>
      </c>
      <c r="T193" s="445">
        <f t="shared" si="44"/>
        <v>1.0229286159348096E-2</v>
      </c>
      <c r="U193" s="445">
        <f t="shared" si="44"/>
        <v>-1.33871277013771E-3</v>
      </c>
      <c r="V193" s="445">
        <f t="shared" si="44"/>
        <v>-5.0363885913605556E-5</v>
      </c>
      <c r="W193" s="445">
        <f t="shared" si="44"/>
        <v>-4.1642103983934786E-3</v>
      </c>
      <c r="X193" s="445">
        <f t="shared" si="44"/>
        <v>3.2857050594163942E-4</v>
      </c>
      <c r="Y193" s="43"/>
      <c r="Z193" s="388">
        <f t="shared" si="38"/>
        <v>0.25015284849825181</v>
      </c>
      <c r="AA193" s="43"/>
      <c r="AB193" s="462">
        <f>IF('TAR_Tab 2_Volumina'!C196="storage",1,0)</f>
        <v>0</v>
      </c>
      <c r="AC193" s="389">
        <f t="shared" si="37"/>
        <v>0.25015284849825181</v>
      </c>
      <c r="AD193" s="389">
        <f t="shared" si="39"/>
        <v>0.26698591558625684</v>
      </c>
      <c r="AE193" s="43"/>
      <c r="AF193" s="1027">
        <f t="shared" si="40"/>
        <v>0.26698591558625684</v>
      </c>
      <c r="AG193" s="392">
        <f t="shared" si="41"/>
        <v>0.26700000000000002</v>
      </c>
      <c r="AH193" s="392">
        <f>AG193+'TAR_Tab 14_Overige tarieven'!$AA$14+'TAR_Tab 14_Overige tarieven'!$AA$15</f>
        <v>0.44700000000000001</v>
      </c>
      <c r="AI193" s="43"/>
    </row>
    <row r="194" spans="1:35">
      <c r="A194" s="96">
        <v>300544</v>
      </c>
      <c r="B194" s="1286" t="s">
        <v>129</v>
      </c>
      <c r="C194" s="1022"/>
      <c r="D194" s="1358"/>
      <c r="E194" s="1022"/>
      <c r="F194" s="1032">
        <v>0.3270209620329807</v>
      </c>
      <c r="G194" s="390">
        <f t="shared" si="32"/>
        <v>0.31119314747058441</v>
      </c>
      <c r="H194" s="390">
        <f t="shared" si="33"/>
        <v>0.31846604423744151</v>
      </c>
      <c r="I194" s="387"/>
      <c r="J194" s="388">
        <f t="shared" si="34"/>
        <v>0.30254274202556941</v>
      </c>
      <c r="K194" s="388">
        <f t="shared" si="35"/>
        <v>0.33438934644931362</v>
      </c>
      <c r="L194" s="1316">
        <v>0.32092820684448403</v>
      </c>
      <c r="M194" s="61" t="b">
        <f t="shared" si="45"/>
        <v>1</v>
      </c>
      <c r="N194" s="857">
        <f t="shared" si="36"/>
        <v>0.32092820684448403</v>
      </c>
      <c r="O194" s="15"/>
      <c r="P194" s="445">
        <f t="shared" si="42"/>
        <v>-1.4883963081556999E-2</v>
      </c>
      <c r="Q194" s="445">
        <f t="shared" si="43"/>
        <v>1.5400935743903157E-2</v>
      </c>
      <c r="R194" s="445">
        <f t="shared" si="44"/>
        <v>0</v>
      </c>
      <c r="S194" s="445">
        <f t="shared" ref="R194:X230" si="46">$N194*S$5</f>
        <v>5.8019178271603649E-4</v>
      </c>
      <c r="T194" s="445">
        <f t="shared" si="46"/>
        <v>1.3437131553364956E-2</v>
      </c>
      <c r="U194" s="445">
        <f t="shared" si="46"/>
        <v>-1.7585254067871751E-3</v>
      </c>
      <c r="V194" s="445">
        <f t="shared" si="46"/>
        <v>-6.6157711302399478E-5</v>
      </c>
      <c r="W194" s="445">
        <f t="shared" si="46"/>
        <v>-5.4700828647723972E-3</v>
      </c>
      <c r="X194" s="445">
        <f t="shared" si="46"/>
        <v>4.3160832966421367E-4</v>
      </c>
      <c r="Y194" s="43"/>
      <c r="Z194" s="388">
        <f t="shared" si="38"/>
        <v>0.3285993451897134</v>
      </c>
      <c r="AA194" s="43"/>
      <c r="AB194" s="462">
        <f>IF('TAR_Tab 2_Volumina'!C197="storage",1,0)</f>
        <v>0</v>
      </c>
      <c r="AC194" s="389">
        <f t="shared" si="37"/>
        <v>0.3285993451897134</v>
      </c>
      <c r="AD194" s="389">
        <f t="shared" si="39"/>
        <v>0.35071116544624598</v>
      </c>
      <c r="AE194" s="43"/>
      <c r="AF194" s="1027">
        <f t="shared" si="40"/>
        <v>0.35071116544624598</v>
      </c>
      <c r="AG194" s="392">
        <f t="shared" si="41"/>
        <v>0.35099999999999998</v>
      </c>
      <c r="AH194" s="392">
        <f>AG194+'TAR_Tab 14_Overige tarieven'!$AA$14+'TAR_Tab 14_Overige tarieven'!$AA$15</f>
        <v>0.53099999999999992</v>
      </c>
      <c r="AI194" s="43"/>
    </row>
    <row r="195" spans="1:35">
      <c r="A195" s="96">
        <v>300546</v>
      </c>
      <c r="B195" s="1286" t="s">
        <v>130</v>
      </c>
      <c r="C195" s="1022"/>
      <c r="D195" s="1358"/>
      <c r="E195" s="1022"/>
      <c r="F195" s="1032">
        <v>0.82040760299350057</v>
      </c>
      <c r="G195" s="390">
        <f t="shared" si="32"/>
        <v>0.78069987500861515</v>
      </c>
      <c r="H195" s="390">
        <f t="shared" si="33"/>
        <v>0.79894561609574044</v>
      </c>
      <c r="I195" s="387"/>
      <c r="J195" s="388">
        <f t="shared" si="34"/>
        <v>0.7589983352909534</v>
      </c>
      <c r="K195" s="388">
        <f t="shared" si="35"/>
        <v>0.83889289690052748</v>
      </c>
      <c r="L195" s="1316">
        <v>0.80512251958861281</v>
      </c>
      <c r="M195" s="61" t="b">
        <f t="shared" si="45"/>
        <v>1</v>
      </c>
      <c r="N195" s="857">
        <f t="shared" si="36"/>
        <v>0.80512251958861281</v>
      </c>
      <c r="O195" s="15"/>
      <c r="P195" s="445">
        <f t="shared" si="42"/>
        <v>-3.7339858579317743E-2</v>
      </c>
      <c r="Q195" s="445">
        <f t="shared" si="43"/>
        <v>3.8636803888547816E-2</v>
      </c>
      <c r="R195" s="445">
        <f t="shared" si="46"/>
        <v>0</v>
      </c>
      <c r="S195" s="445">
        <f t="shared" si="46"/>
        <v>1.4555450720207489E-3</v>
      </c>
      <c r="T195" s="445">
        <f t="shared" si="46"/>
        <v>3.3710147570578955E-2</v>
      </c>
      <c r="U195" s="445">
        <f t="shared" si="46"/>
        <v>-4.4116670834083629E-3</v>
      </c>
      <c r="V195" s="445">
        <f t="shared" si="46"/>
        <v>-1.659718967607456E-4</v>
      </c>
      <c r="W195" s="445">
        <f t="shared" si="46"/>
        <v>-1.3722966085614874E-2</v>
      </c>
      <c r="X195" s="445">
        <f t="shared" si="46"/>
        <v>1.0827891673076755E-3</v>
      </c>
      <c r="Y195" s="43"/>
      <c r="Z195" s="388">
        <f t="shared" si="38"/>
        <v>0.82436734164196623</v>
      </c>
      <c r="AA195" s="43"/>
      <c r="AB195" s="462">
        <f>IF('TAR_Tab 2_Volumina'!C198="storage",1,0)</f>
        <v>0</v>
      </c>
      <c r="AC195" s="389">
        <f t="shared" si="37"/>
        <v>0.82436734164196623</v>
      </c>
      <c r="AD195" s="389">
        <f t="shared" si="39"/>
        <v>0.87983994909107366</v>
      </c>
      <c r="AE195" s="43"/>
      <c r="AF195" s="1027">
        <f t="shared" si="40"/>
        <v>0.87983994909107366</v>
      </c>
      <c r="AG195" s="392">
        <f t="shared" si="41"/>
        <v>0.88</v>
      </c>
      <c r="AH195" s="392">
        <f>AG195+'TAR_Tab 14_Overige tarieven'!$AA$14+'TAR_Tab 14_Overige tarieven'!$AA$15</f>
        <v>1.06</v>
      </c>
      <c r="AI195" s="43"/>
    </row>
    <row r="196" spans="1:35">
      <c r="A196" s="96">
        <v>300549</v>
      </c>
      <c r="B196" s="1286" t="s">
        <v>131</v>
      </c>
      <c r="C196" s="1022"/>
      <c r="D196" s="1358"/>
      <c r="E196" s="1022"/>
      <c r="F196" s="1032">
        <v>1.3070713993330594</v>
      </c>
      <c r="G196" s="390">
        <f t="shared" si="32"/>
        <v>1.2438091436053393</v>
      </c>
      <c r="H196" s="390">
        <f t="shared" si="33"/>
        <v>1.2728782139645112</v>
      </c>
      <c r="I196" s="387"/>
      <c r="J196" s="388">
        <f t="shared" si="34"/>
        <v>1.2092343032662856</v>
      </c>
      <c r="K196" s="388">
        <f t="shared" si="35"/>
        <v>1.3365221246627368</v>
      </c>
      <c r="L196" s="1316">
        <v>1.2571187694106651</v>
      </c>
      <c r="M196" s="61" t="b">
        <f t="shared" si="45"/>
        <v>1</v>
      </c>
      <c r="N196" s="857">
        <f t="shared" si="36"/>
        <v>1.2571187694106651</v>
      </c>
      <c r="O196" s="15"/>
      <c r="P196" s="445">
        <f t="shared" si="42"/>
        <v>-5.8302476859279848E-2</v>
      </c>
      <c r="Q196" s="445">
        <f t="shared" si="43"/>
        <v>6.0327528017910116E-2</v>
      </c>
      <c r="R196" s="445">
        <f t="shared" si="46"/>
        <v>0</v>
      </c>
      <c r="S196" s="445">
        <f t="shared" si="46"/>
        <v>2.2726889203092183E-3</v>
      </c>
      <c r="T196" s="445">
        <f t="shared" si="46"/>
        <v>5.263504398340705E-2</v>
      </c>
      <c r="U196" s="445">
        <f t="shared" si="46"/>
        <v>-6.8883795447401601E-3</v>
      </c>
      <c r="V196" s="445">
        <f t="shared" si="46"/>
        <v>-2.5914861593889196E-4</v>
      </c>
      <c r="W196" s="445">
        <f t="shared" si="46"/>
        <v>-2.1427047211432213E-2</v>
      </c>
      <c r="X196" s="445">
        <f t="shared" si="46"/>
        <v>1.6906676343279316E-3</v>
      </c>
      <c r="Y196" s="43"/>
      <c r="Z196" s="388">
        <f t="shared" si="38"/>
        <v>1.2871676457352283</v>
      </c>
      <c r="AA196" s="43"/>
      <c r="AB196" s="462">
        <f>IF('TAR_Tab 2_Volumina'!C199="storage",1,0)</f>
        <v>0</v>
      </c>
      <c r="AC196" s="389">
        <f t="shared" si="37"/>
        <v>1.2871676457352283</v>
      </c>
      <c r="AD196" s="389">
        <f t="shared" si="39"/>
        <v>1.3737826072047636</v>
      </c>
      <c r="AE196" s="43"/>
      <c r="AF196" s="1027">
        <f t="shared" si="40"/>
        <v>1.3737826072047636</v>
      </c>
      <c r="AG196" s="392">
        <f t="shared" si="41"/>
        <v>1.3740000000000001</v>
      </c>
      <c r="AH196" s="392">
        <f>AG196+'TAR_Tab 14_Overige tarieven'!$AA$14+'TAR_Tab 14_Overige tarieven'!$AA$15</f>
        <v>1.554</v>
      </c>
      <c r="AI196" s="43"/>
    </row>
    <row r="197" spans="1:35">
      <c r="A197" s="96">
        <v>300552</v>
      </c>
      <c r="B197" s="1286" t="s">
        <v>794</v>
      </c>
      <c r="C197" s="1022"/>
      <c r="D197" s="1358"/>
      <c r="E197" s="1022"/>
      <c r="F197" s="1032">
        <v>1.0410689582814077</v>
      </c>
      <c r="G197" s="390">
        <f t="shared" si="32"/>
        <v>0.99068122070058751</v>
      </c>
      <c r="H197" s="390">
        <f t="shared" si="33"/>
        <v>1.0138344369766636</v>
      </c>
      <c r="I197" s="387"/>
      <c r="J197" s="388">
        <f t="shared" si="34"/>
        <v>0.96314271512783045</v>
      </c>
      <c r="K197" s="388">
        <f t="shared" si="35"/>
        <v>1.0645261588254968</v>
      </c>
      <c r="L197" s="1316">
        <v>1.0216727145124465</v>
      </c>
      <c r="M197" s="61" t="b">
        <f t="shared" si="45"/>
        <v>1</v>
      </c>
      <c r="N197" s="857">
        <f t="shared" si="36"/>
        <v>1.0216727145124465</v>
      </c>
      <c r="O197" s="15"/>
      <c r="P197" s="445">
        <f t="shared" si="42"/>
        <v>-4.7382992955823884E-2</v>
      </c>
      <c r="Q197" s="445">
        <f t="shared" si="43"/>
        <v>4.9028771830984801E-2</v>
      </c>
      <c r="R197" s="445">
        <f t="shared" si="46"/>
        <v>0</v>
      </c>
      <c r="S197" s="445">
        <f t="shared" si="46"/>
        <v>1.8470365051849501E-3</v>
      </c>
      <c r="T197" s="445">
        <f t="shared" si="46"/>
        <v>4.2777014848182943E-2</v>
      </c>
      <c r="U197" s="445">
        <f t="shared" si="46"/>
        <v>-5.5982534023940591E-3</v>
      </c>
      <c r="V197" s="445">
        <f t="shared" si="46"/>
        <v>-2.1061261382053232E-4</v>
      </c>
      <c r="W197" s="445">
        <f t="shared" si="46"/>
        <v>-1.7413970756918182E-2</v>
      </c>
      <c r="X197" s="445">
        <f t="shared" si="46"/>
        <v>1.3740221157559466E-3</v>
      </c>
      <c r="Y197" s="43"/>
      <c r="Z197" s="388">
        <f t="shared" si="38"/>
        <v>1.0460937300835984</v>
      </c>
      <c r="AA197" s="43"/>
      <c r="AB197" s="462">
        <f>IF('TAR_Tab 2_Volumina'!C200="storage",1,0)</f>
        <v>0</v>
      </c>
      <c r="AC197" s="389">
        <f t="shared" si="37"/>
        <v>1.0460937300835984</v>
      </c>
      <c r="AD197" s="389">
        <f t="shared" si="39"/>
        <v>1.1164865560879831</v>
      </c>
      <c r="AE197" s="43"/>
      <c r="AF197" s="1027">
        <f t="shared" si="40"/>
        <v>1.1164865560879831</v>
      </c>
      <c r="AG197" s="392">
        <f t="shared" si="41"/>
        <v>1.1160000000000001</v>
      </c>
      <c r="AH197" s="392">
        <f>AG197+'TAR_Tab 14_Overige tarieven'!$AA$14+'TAR_Tab 14_Overige tarieven'!$AA$15</f>
        <v>1.296</v>
      </c>
      <c r="AI197" s="43"/>
    </row>
    <row r="198" spans="1:35">
      <c r="A198" s="96">
        <v>300553</v>
      </c>
      <c r="B198" s="1286" t="s">
        <v>132</v>
      </c>
      <c r="C198" s="1022"/>
      <c r="D198" s="1358"/>
      <c r="E198" s="1022"/>
      <c r="F198" s="1032">
        <v>0.3270209620329807</v>
      </c>
      <c r="G198" s="390">
        <f t="shared" si="32"/>
        <v>0.31119314747058441</v>
      </c>
      <c r="H198" s="390">
        <f t="shared" si="33"/>
        <v>0.31846604423744151</v>
      </c>
      <c r="I198" s="387"/>
      <c r="J198" s="388">
        <f t="shared" si="34"/>
        <v>0.30254274202556941</v>
      </c>
      <c r="K198" s="388">
        <f t="shared" si="35"/>
        <v>0.33438934644931362</v>
      </c>
      <c r="L198" s="1316">
        <v>0.32092820684448403</v>
      </c>
      <c r="M198" s="61" t="b">
        <f t="shared" si="45"/>
        <v>1</v>
      </c>
      <c r="N198" s="857">
        <f t="shared" si="36"/>
        <v>0.32092820684448403</v>
      </c>
      <c r="O198" s="15"/>
      <c r="P198" s="445">
        <f t="shared" si="42"/>
        <v>-1.4883963081556999E-2</v>
      </c>
      <c r="Q198" s="445">
        <f t="shared" si="43"/>
        <v>1.5400935743903157E-2</v>
      </c>
      <c r="R198" s="445">
        <f t="shared" si="46"/>
        <v>0</v>
      </c>
      <c r="S198" s="445">
        <f t="shared" si="46"/>
        <v>5.8019178271603649E-4</v>
      </c>
      <c r="T198" s="445">
        <f t="shared" si="46"/>
        <v>1.3437131553364956E-2</v>
      </c>
      <c r="U198" s="445">
        <f t="shared" si="46"/>
        <v>-1.7585254067871751E-3</v>
      </c>
      <c r="V198" s="445">
        <f t="shared" si="46"/>
        <v>-6.6157711302399478E-5</v>
      </c>
      <c r="W198" s="445">
        <f t="shared" si="46"/>
        <v>-5.4700828647723972E-3</v>
      </c>
      <c r="X198" s="445">
        <f t="shared" si="46"/>
        <v>4.3160832966421367E-4</v>
      </c>
      <c r="Y198" s="43"/>
      <c r="Z198" s="388">
        <f t="shared" si="38"/>
        <v>0.3285993451897134</v>
      </c>
      <c r="AA198" s="43"/>
      <c r="AB198" s="462">
        <f>IF('TAR_Tab 2_Volumina'!C201="storage",1,0)</f>
        <v>0</v>
      </c>
      <c r="AC198" s="389">
        <f t="shared" si="37"/>
        <v>0.3285993451897134</v>
      </c>
      <c r="AD198" s="389">
        <f t="shared" si="39"/>
        <v>0.35071116544624598</v>
      </c>
      <c r="AE198" s="43"/>
      <c r="AF198" s="1027">
        <f t="shared" si="40"/>
        <v>0.35071116544624598</v>
      </c>
      <c r="AG198" s="392">
        <f t="shared" si="41"/>
        <v>0.35099999999999998</v>
      </c>
      <c r="AH198" s="392">
        <f>AG198+'TAR_Tab 14_Overige tarieven'!$AA$14+'TAR_Tab 14_Overige tarieven'!$AA$15</f>
        <v>0.53099999999999992</v>
      </c>
      <c r="AI198" s="43"/>
    </row>
    <row r="199" spans="1:35">
      <c r="A199" s="96">
        <v>300555</v>
      </c>
      <c r="B199" s="1286" t="s">
        <v>146</v>
      </c>
      <c r="C199" s="1022"/>
      <c r="D199" s="1358"/>
      <c r="E199" s="1022"/>
      <c r="F199" s="1032">
        <v>1.1698990506412945</v>
      </c>
      <c r="G199" s="390">
        <f t="shared" ref="G199:G262" si="47">F199*$G$5</f>
        <v>1.1132759365902558</v>
      </c>
      <c r="H199" s="390">
        <f t="shared" ref="H199:H262" si="48">G199*$H$5</f>
        <v>1.1392943146479295</v>
      </c>
      <c r="I199" s="387"/>
      <c r="J199" s="388">
        <f t="shared" ref="J199:J262" si="49">H199*$J$5</f>
        <v>1.082329598915533</v>
      </c>
      <c r="K199" s="388">
        <f t="shared" ref="K199:K262" si="50">H199*$K$5</f>
        <v>1.196259030380326</v>
      </c>
      <c r="L199" s="1316">
        <v>1.1481025625308681</v>
      </c>
      <c r="M199" s="61" t="b">
        <f t="shared" si="45"/>
        <v>1</v>
      </c>
      <c r="N199" s="857">
        <f t="shared" ref="N199:N262" si="51">IF(L199&gt;0,L199,H199)</f>
        <v>1.1481025625308681</v>
      </c>
      <c r="O199" s="15"/>
      <c r="P199" s="445">
        <f t="shared" si="42"/>
        <v>-5.3246538603043743E-2</v>
      </c>
      <c r="Q199" s="445">
        <f t="shared" si="43"/>
        <v>5.5095979149993382E-2</v>
      </c>
      <c r="R199" s="445">
        <f t="shared" si="46"/>
        <v>0</v>
      </c>
      <c r="S199" s="445">
        <f t="shared" si="46"/>
        <v>2.0756033850848881E-3</v>
      </c>
      <c r="T199" s="445">
        <f t="shared" si="46"/>
        <v>4.807058039918078E-2</v>
      </c>
      <c r="U199" s="445">
        <f t="shared" si="46"/>
        <v>-6.2910254778145687E-3</v>
      </c>
      <c r="V199" s="445">
        <f t="shared" si="46"/>
        <v>-2.3667548148632826E-4</v>
      </c>
      <c r="W199" s="445">
        <f t="shared" si="46"/>
        <v>-1.9568912985403804E-2</v>
      </c>
      <c r="X199" s="445">
        <f t="shared" si="46"/>
        <v>1.5440544605581413E-3</v>
      </c>
      <c r="Y199" s="43"/>
      <c r="Z199" s="388">
        <f t="shared" si="38"/>
        <v>1.1755456273779368</v>
      </c>
      <c r="AA199" s="43"/>
      <c r="AB199" s="462">
        <f>IF('TAR_Tab 2_Volumina'!C202="storage",1,0)</f>
        <v>0</v>
      </c>
      <c r="AC199" s="389">
        <f t="shared" ref="AC199:AC262" si="52">IF(AB199=1,Z199*$AC$5,Z199)</f>
        <v>1.1755456273779368</v>
      </c>
      <c r="AD199" s="389">
        <f t="shared" si="39"/>
        <v>1.2546494174385248</v>
      </c>
      <c r="AE199" s="43"/>
      <c r="AF199" s="1027">
        <f t="shared" si="40"/>
        <v>1.2546494174385248</v>
      </c>
      <c r="AG199" s="392">
        <f t="shared" si="41"/>
        <v>1.2549999999999999</v>
      </c>
      <c r="AH199" s="392">
        <f>AG199+'TAR_Tab 14_Overige tarieven'!$AA$14+'TAR_Tab 14_Overige tarieven'!$AA$15</f>
        <v>1.4349999999999998</v>
      </c>
      <c r="AI199" s="43"/>
    </row>
    <row r="200" spans="1:35">
      <c r="A200" s="96">
        <v>300556</v>
      </c>
      <c r="B200" s="1286" t="s">
        <v>147</v>
      </c>
      <c r="C200" s="1022"/>
      <c r="D200" s="1358"/>
      <c r="E200" s="1022"/>
      <c r="F200" s="1032">
        <v>1.263407284952335</v>
      </c>
      <c r="G200" s="390">
        <f t="shared" si="47"/>
        <v>1.2022583723606419</v>
      </c>
      <c r="H200" s="390">
        <f t="shared" si="48"/>
        <v>1.2303563594157556</v>
      </c>
      <c r="I200" s="387"/>
      <c r="J200" s="388">
        <f t="shared" si="49"/>
        <v>1.1688385414449678</v>
      </c>
      <c r="K200" s="388">
        <f t="shared" si="50"/>
        <v>1.2918741773865434</v>
      </c>
      <c r="L200" s="1316">
        <v>1.2918741773865434</v>
      </c>
      <c r="M200" s="61" t="b">
        <f t="shared" si="45"/>
        <v>1</v>
      </c>
      <c r="N200" s="857">
        <f t="shared" si="51"/>
        <v>1.2918741773865434</v>
      </c>
      <c r="O200" s="15"/>
      <c r="P200" s="445">
        <f t="shared" si="42"/>
        <v>-5.9914358265042655E-2</v>
      </c>
      <c r="Q200" s="445">
        <f t="shared" si="43"/>
        <v>6.1995395763947851E-2</v>
      </c>
      <c r="R200" s="445">
        <f t="shared" si="46"/>
        <v>0</v>
      </c>
      <c r="S200" s="445">
        <f t="shared" si="46"/>
        <v>2.3355216713186037E-3</v>
      </c>
      <c r="T200" s="445">
        <f t="shared" si="46"/>
        <v>5.4090238569618823E-2</v>
      </c>
      <c r="U200" s="445">
        <f t="shared" si="46"/>
        <v>-7.0788217266529903E-3</v>
      </c>
      <c r="V200" s="445">
        <f t="shared" si="46"/>
        <v>-2.6631326584509199E-4</v>
      </c>
      <c r="W200" s="445">
        <f t="shared" si="46"/>
        <v>-2.2019438149880177E-2</v>
      </c>
      <c r="X200" s="445">
        <f t="shared" si="46"/>
        <v>1.737409314440008E-3</v>
      </c>
      <c r="Y200" s="43"/>
      <c r="Z200" s="388">
        <f t="shared" ref="Z200:Z263" si="53">N200+SUM(P200:X200)</f>
        <v>1.3227538112984478</v>
      </c>
      <c r="AA200" s="43"/>
      <c r="AB200" s="462">
        <f>IF('TAR_Tab 2_Volumina'!C203="storage",1,0)</f>
        <v>0</v>
      </c>
      <c r="AC200" s="389">
        <f t="shared" si="52"/>
        <v>1.3227538112984478</v>
      </c>
      <c r="AD200" s="389">
        <f t="shared" ref="AD200:AD263" si="54">IF(AB200=0,AC200*(1+$AD$5),AC200)</f>
        <v>1.4117634059529605</v>
      </c>
      <c r="AE200" s="43"/>
      <c r="AF200" s="1027">
        <f t="shared" ref="AF200:AF263" si="55">AD200</f>
        <v>1.4117634059529605</v>
      </c>
      <c r="AG200" s="392">
        <f t="shared" ref="AG200:AG263" si="56">ROUND(AD200,3)</f>
        <v>1.4119999999999999</v>
      </c>
      <c r="AH200" s="392">
        <f>AG200+'TAR_Tab 14_Overige tarieven'!$AA$14+'TAR_Tab 14_Overige tarieven'!$AA$15</f>
        <v>1.5919999999999999</v>
      </c>
      <c r="AI200" s="43"/>
    </row>
    <row r="201" spans="1:35">
      <c r="A201" s="96">
        <v>300558</v>
      </c>
      <c r="B201" s="1286" t="s">
        <v>148</v>
      </c>
      <c r="C201" s="1022"/>
      <c r="D201" s="1358"/>
      <c r="E201" s="1022"/>
      <c r="F201" s="1032">
        <v>0.75816978483537301</v>
      </c>
      <c r="G201" s="390">
        <f t="shared" si="47"/>
        <v>0.721474367249341</v>
      </c>
      <c r="H201" s="390">
        <f t="shared" si="48"/>
        <v>0.73833594866778784</v>
      </c>
      <c r="I201" s="387"/>
      <c r="J201" s="388">
        <f t="shared" si="49"/>
        <v>0.70141915123439846</v>
      </c>
      <c r="K201" s="388">
        <f t="shared" si="50"/>
        <v>0.77525274610117723</v>
      </c>
      <c r="L201" s="1316">
        <v>0.74404425948189057</v>
      </c>
      <c r="M201" s="61" t="b">
        <f t="shared" si="45"/>
        <v>1</v>
      </c>
      <c r="N201" s="857">
        <f t="shared" si="51"/>
        <v>0.74404425948189057</v>
      </c>
      <c r="O201" s="15"/>
      <c r="P201" s="445">
        <f t="shared" si="42"/>
        <v>-3.4507179652610881E-2</v>
      </c>
      <c r="Q201" s="445">
        <f t="shared" si="43"/>
        <v>3.5705736007347638E-2</v>
      </c>
      <c r="R201" s="445">
        <f t="shared" si="46"/>
        <v>0</v>
      </c>
      <c r="S201" s="445">
        <f t="shared" si="46"/>
        <v>1.3451244113846922E-3</v>
      </c>
      <c r="T201" s="445">
        <f t="shared" si="46"/>
        <v>3.1152826030741935E-2</v>
      </c>
      <c r="U201" s="445">
        <f t="shared" si="46"/>
        <v>-4.0769888908739355E-3</v>
      </c>
      <c r="V201" s="445">
        <f t="shared" si="46"/>
        <v>-1.5338092528234423E-4</v>
      </c>
      <c r="W201" s="445">
        <f t="shared" si="46"/>
        <v>-1.2681913486016506E-2</v>
      </c>
      <c r="X201" s="445">
        <f t="shared" si="46"/>
        <v>1.0006465408222659E-3</v>
      </c>
      <c r="Y201" s="43"/>
      <c r="Z201" s="388">
        <f t="shared" si="53"/>
        <v>0.76182912951740345</v>
      </c>
      <c r="AA201" s="43"/>
      <c r="AB201" s="462">
        <f>IF('TAR_Tab 2_Volumina'!C204="storage",1,0)</f>
        <v>0</v>
      </c>
      <c r="AC201" s="389">
        <f t="shared" si="52"/>
        <v>0.76182912951740345</v>
      </c>
      <c r="AD201" s="389">
        <f t="shared" si="54"/>
        <v>0.81309347019450962</v>
      </c>
      <c r="AE201" s="43"/>
      <c r="AF201" s="1027">
        <f t="shared" si="55"/>
        <v>0.81309347019450962</v>
      </c>
      <c r="AG201" s="392">
        <f t="shared" si="56"/>
        <v>0.81299999999999994</v>
      </c>
      <c r="AH201" s="392">
        <f>AG201+'TAR_Tab 14_Overige tarieven'!$AA$14+'TAR_Tab 14_Overige tarieven'!$AA$15</f>
        <v>0.99299999999999999</v>
      </c>
      <c r="AI201" s="43"/>
    </row>
    <row r="202" spans="1:35">
      <c r="A202" s="96">
        <v>300563</v>
      </c>
      <c r="B202" s="1286" t="s">
        <v>280</v>
      </c>
      <c r="C202" s="1022"/>
      <c r="D202" s="1358"/>
      <c r="E202" s="1022"/>
      <c r="F202" s="1032">
        <v>0.75293503002811524</v>
      </c>
      <c r="G202" s="390">
        <f t="shared" si="47"/>
        <v>0.71649297457475447</v>
      </c>
      <c r="H202" s="390">
        <f t="shared" si="48"/>
        <v>0.73323813583751363</v>
      </c>
      <c r="I202" s="387"/>
      <c r="J202" s="388">
        <f t="shared" si="49"/>
        <v>0.69657622904563787</v>
      </c>
      <c r="K202" s="388">
        <f t="shared" si="50"/>
        <v>0.76990004262938938</v>
      </c>
      <c r="L202" s="1316">
        <v>0.73890703383396894</v>
      </c>
      <c r="M202" s="61" t="b">
        <f t="shared" si="45"/>
        <v>1</v>
      </c>
      <c r="N202" s="857">
        <f t="shared" si="51"/>
        <v>0.73890703383396894</v>
      </c>
      <c r="O202" s="15"/>
      <c r="P202" s="445">
        <f t="shared" ref="P202:P265" si="57">$N202*P$5</f>
        <v>-3.4268926126574312E-2</v>
      </c>
      <c r="Q202" s="445">
        <f t="shared" si="43"/>
        <v>3.5459207093970102E-2</v>
      </c>
      <c r="R202" s="445">
        <f t="shared" si="46"/>
        <v>0</v>
      </c>
      <c r="S202" s="445">
        <f t="shared" si="46"/>
        <v>1.3358370504007869E-3</v>
      </c>
      <c r="T202" s="445">
        <f t="shared" si="46"/>
        <v>3.0937732513318914E-2</v>
      </c>
      <c r="U202" s="445">
        <f t="shared" si="46"/>
        <v>-4.0488394741832225E-3</v>
      </c>
      <c r="V202" s="445">
        <f t="shared" si="46"/>
        <v>-1.5232191244376512E-4</v>
      </c>
      <c r="W202" s="445">
        <f t="shared" si="46"/>
        <v>-1.2594351690606038E-2</v>
      </c>
      <c r="X202" s="445">
        <f t="shared" si="46"/>
        <v>9.9373761435921407E-4</v>
      </c>
      <c r="Y202" s="43"/>
      <c r="Z202" s="388">
        <f t="shared" si="53"/>
        <v>0.75656910890221063</v>
      </c>
      <c r="AA202" s="43"/>
      <c r="AB202" s="462">
        <f>IF('TAR_Tab 2_Volumina'!C205="storage",1,0)</f>
        <v>0</v>
      </c>
      <c r="AC202" s="389">
        <f t="shared" si="52"/>
        <v>0.75656910890221063</v>
      </c>
      <c r="AD202" s="389">
        <f t="shared" si="54"/>
        <v>0.80747949686428133</v>
      </c>
      <c r="AE202" s="43"/>
      <c r="AF202" s="1027">
        <f t="shared" si="55"/>
        <v>0.80747949686428133</v>
      </c>
      <c r="AG202" s="392">
        <f t="shared" si="56"/>
        <v>0.80700000000000005</v>
      </c>
      <c r="AH202" s="392">
        <f>AG202+'TAR_Tab 14_Overige tarieven'!$AA$14+'TAR_Tab 14_Overige tarieven'!$AA$15</f>
        <v>0.9870000000000001</v>
      </c>
      <c r="AI202" s="43"/>
    </row>
    <row r="203" spans="1:35">
      <c r="A203" s="96">
        <v>300564</v>
      </c>
      <c r="B203" s="1286" t="s">
        <v>281</v>
      </c>
      <c r="C203" s="1022"/>
      <c r="D203" s="1358"/>
      <c r="E203" s="1022"/>
      <c r="F203" s="1032">
        <v>1.9418324413208499</v>
      </c>
      <c r="G203" s="390">
        <f t="shared" si="47"/>
        <v>1.8478477511609208</v>
      </c>
      <c r="H203" s="390">
        <f t="shared" si="48"/>
        <v>1.8910338111506664</v>
      </c>
      <c r="I203" s="387"/>
      <c r="J203" s="388">
        <f t="shared" si="49"/>
        <v>1.7964821205931329</v>
      </c>
      <c r="K203" s="388">
        <f t="shared" si="50"/>
        <v>1.9855855017081998</v>
      </c>
      <c r="L203" s="1316">
        <v>1.9056539969529456</v>
      </c>
      <c r="M203" s="61" t="b">
        <f t="shared" si="45"/>
        <v>1</v>
      </c>
      <c r="N203" s="857">
        <f t="shared" si="51"/>
        <v>1.9056539969529456</v>
      </c>
      <c r="O203" s="15"/>
      <c r="P203" s="445">
        <f t="shared" si="57"/>
        <v>-8.8380152108641863E-2</v>
      </c>
      <c r="Q203" s="445">
        <f t="shared" si="43"/>
        <v>9.1449907272895023E-2</v>
      </c>
      <c r="R203" s="445">
        <f t="shared" si="46"/>
        <v>0</v>
      </c>
      <c r="S203" s="445">
        <f t="shared" si="46"/>
        <v>3.4451468152434644E-3</v>
      </c>
      <c r="T203" s="445">
        <f t="shared" si="46"/>
        <v>7.978894626940948E-2</v>
      </c>
      <c r="U203" s="445">
        <f t="shared" si="46"/>
        <v>-1.044202690420162E-2</v>
      </c>
      <c r="V203" s="445">
        <f t="shared" si="46"/>
        <v>-3.928408419200424E-4</v>
      </c>
      <c r="W203" s="445">
        <f t="shared" si="46"/>
        <v>-3.2481050442439485E-2</v>
      </c>
      <c r="X203" s="445">
        <f t="shared" si="46"/>
        <v>2.5628664635930862E-3</v>
      </c>
      <c r="Y203" s="43"/>
      <c r="Z203" s="388">
        <f t="shared" si="53"/>
        <v>1.9512047934768837</v>
      </c>
      <c r="AA203" s="43"/>
      <c r="AB203" s="462">
        <f>IF('TAR_Tab 2_Volumina'!C206="storage",1,0)</f>
        <v>0</v>
      </c>
      <c r="AC203" s="389">
        <f t="shared" si="52"/>
        <v>1.9512047934768837</v>
      </c>
      <c r="AD203" s="389">
        <f t="shared" si="54"/>
        <v>2.0825035629620645</v>
      </c>
      <c r="AE203" s="43"/>
      <c r="AF203" s="1027">
        <f t="shared" si="55"/>
        <v>2.0825035629620645</v>
      </c>
      <c r="AG203" s="392">
        <f t="shared" si="56"/>
        <v>2.0830000000000002</v>
      </c>
      <c r="AH203" s="392">
        <f>AG203+'TAR_Tab 14_Overige tarieven'!$AA$14+'TAR_Tab 14_Overige tarieven'!$AA$15</f>
        <v>2.2630000000000003</v>
      </c>
      <c r="AI203" s="43"/>
    </row>
    <row r="204" spans="1:35">
      <c r="A204" s="96">
        <v>300569</v>
      </c>
      <c r="B204" s="1286" t="s">
        <v>282</v>
      </c>
      <c r="C204" s="1022"/>
      <c r="D204" s="1358"/>
      <c r="E204" s="1022"/>
      <c r="F204" s="1032">
        <v>2.0558226052294888</v>
      </c>
      <c r="G204" s="390">
        <f t="shared" si="47"/>
        <v>1.9563207911363816</v>
      </c>
      <c r="H204" s="390">
        <f t="shared" si="48"/>
        <v>2.0020419751420029</v>
      </c>
      <c r="I204" s="387"/>
      <c r="J204" s="388">
        <f t="shared" si="49"/>
        <v>1.9019398763849027</v>
      </c>
      <c r="K204" s="388">
        <f t="shared" si="50"/>
        <v>2.1021440738991033</v>
      </c>
      <c r="L204" s="1316">
        <v>2.0175204004815939</v>
      </c>
      <c r="M204" s="61" t="b">
        <f t="shared" si="45"/>
        <v>1</v>
      </c>
      <c r="N204" s="857">
        <f t="shared" si="51"/>
        <v>2.0175204004815939</v>
      </c>
      <c r="O204" s="15"/>
      <c r="P204" s="445">
        <f t="shared" si="57"/>
        <v>-9.3568276382784574E-2</v>
      </c>
      <c r="Q204" s="445">
        <f t="shared" si="43"/>
        <v>9.6818233446484103E-2</v>
      </c>
      <c r="R204" s="445">
        <f t="shared" si="46"/>
        <v>0</v>
      </c>
      <c r="S204" s="445">
        <f t="shared" si="46"/>
        <v>3.6473850937901965E-3</v>
      </c>
      <c r="T204" s="445">
        <f t="shared" si="46"/>
        <v>8.4472746410868105E-2</v>
      </c>
      <c r="U204" s="445">
        <f t="shared" si="46"/>
        <v>-1.1054998617424575E-2</v>
      </c>
      <c r="V204" s="445">
        <f t="shared" si="46"/>
        <v>-4.1590152985973583E-4</v>
      </c>
      <c r="W204" s="445">
        <f t="shared" si="46"/>
        <v>-3.4387765041017281E-2</v>
      </c>
      <c r="X204" s="445">
        <f t="shared" si="46"/>
        <v>2.7133127956474688E-3</v>
      </c>
      <c r="Y204" s="43"/>
      <c r="Z204" s="388">
        <f t="shared" si="53"/>
        <v>2.0657451366572976</v>
      </c>
      <c r="AA204" s="43"/>
      <c r="AB204" s="462">
        <f>IF('TAR_Tab 2_Volumina'!C207="storage",1,0)</f>
        <v>0</v>
      </c>
      <c r="AC204" s="389">
        <f t="shared" si="52"/>
        <v>2.0657451366572976</v>
      </c>
      <c r="AD204" s="389">
        <f t="shared" si="54"/>
        <v>2.2047514549176128</v>
      </c>
      <c r="AE204" s="43"/>
      <c r="AF204" s="1027">
        <f t="shared" si="55"/>
        <v>2.2047514549176128</v>
      </c>
      <c r="AG204" s="392">
        <f t="shared" si="56"/>
        <v>2.2050000000000001</v>
      </c>
      <c r="AH204" s="392">
        <f>AG204+'TAR_Tab 14_Overige tarieven'!$AA$14+'TAR_Tab 14_Overige tarieven'!$AA$15</f>
        <v>2.3850000000000002</v>
      </c>
      <c r="AI204" s="43"/>
    </row>
    <row r="205" spans="1:35">
      <c r="A205" s="96">
        <v>300571</v>
      </c>
      <c r="B205" s="1286" t="s">
        <v>283</v>
      </c>
      <c r="C205" s="1022"/>
      <c r="D205" s="1358"/>
      <c r="E205" s="1022"/>
      <c r="F205" s="1032">
        <v>1.2018962896331939</v>
      </c>
      <c r="G205" s="390">
        <f t="shared" si="47"/>
        <v>1.1437245092149473</v>
      </c>
      <c r="H205" s="390">
        <f t="shared" si="48"/>
        <v>1.1704545010314633</v>
      </c>
      <c r="I205" s="387"/>
      <c r="J205" s="388">
        <f t="shared" si="49"/>
        <v>1.1119317759798901</v>
      </c>
      <c r="K205" s="388">
        <f t="shared" si="50"/>
        <v>1.2289772260830365</v>
      </c>
      <c r="L205" s="1316">
        <v>1.1795036582582088</v>
      </c>
      <c r="M205" s="61" t="b">
        <f t="shared" si="45"/>
        <v>1</v>
      </c>
      <c r="N205" s="857">
        <f t="shared" si="51"/>
        <v>1.1795036582582088</v>
      </c>
      <c r="O205" s="15"/>
      <c r="P205" s="445">
        <f t="shared" si="57"/>
        <v>-5.4702854188768052E-2</v>
      </c>
      <c r="Q205" s="445">
        <f t="shared" si="43"/>
        <v>5.6602877725035972E-2</v>
      </c>
      <c r="R205" s="445">
        <f t="shared" si="46"/>
        <v>0</v>
      </c>
      <c r="S205" s="445">
        <f t="shared" si="46"/>
        <v>2.1323720246769545E-3</v>
      </c>
      <c r="T205" s="445">
        <f t="shared" si="46"/>
        <v>4.9385331316081485E-2</v>
      </c>
      <c r="U205" s="445">
        <f t="shared" si="46"/>
        <v>-6.463087713105227E-3</v>
      </c>
      <c r="V205" s="445">
        <f t="shared" si="46"/>
        <v>-2.4314865704834767E-4</v>
      </c>
      <c r="W205" s="445">
        <f t="shared" si="46"/>
        <v>-2.0104131118337937E-2</v>
      </c>
      <c r="X205" s="445">
        <f t="shared" si="46"/>
        <v>1.586285009906741E-3</v>
      </c>
      <c r="Y205" s="43"/>
      <c r="Z205" s="388">
        <f t="shared" si="53"/>
        <v>1.2076973026566504</v>
      </c>
      <c r="AA205" s="43"/>
      <c r="AB205" s="462">
        <f>IF('TAR_Tab 2_Volumina'!C208="storage",1,0)</f>
        <v>0</v>
      </c>
      <c r="AC205" s="389">
        <f t="shared" si="52"/>
        <v>1.2076973026566504</v>
      </c>
      <c r="AD205" s="389">
        <f t="shared" si="54"/>
        <v>1.2889646151804339</v>
      </c>
      <c r="AE205" s="43"/>
      <c r="AF205" s="1027">
        <f t="shared" si="55"/>
        <v>1.2889646151804339</v>
      </c>
      <c r="AG205" s="392">
        <f t="shared" si="56"/>
        <v>1.2889999999999999</v>
      </c>
      <c r="AH205" s="392">
        <f>AG205+'TAR_Tab 14_Overige tarieven'!$AA$14+'TAR_Tab 14_Overige tarieven'!$AA$15</f>
        <v>1.4689999999999999</v>
      </c>
      <c r="AI205" s="43"/>
    </row>
    <row r="206" spans="1:35">
      <c r="A206" s="96">
        <v>300572</v>
      </c>
      <c r="B206" s="1286" t="s">
        <v>150</v>
      </c>
      <c r="C206" s="1022"/>
      <c r="D206" s="1358"/>
      <c r="E206" s="1022"/>
      <c r="F206" s="1032">
        <v>1.3212456825171512</v>
      </c>
      <c r="G206" s="390">
        <f t="shared" si="47"/>
        <v>1.2572973914833212</v>
      </c>
      <c r="H206" s="390">
        <f t="shared" si="48"/>
        <v>1.2866816957580844</v>
      </c>
      <c r="I206" s="387"/>
      <c r="J206" s="388">
        <f t="shared" si="49"/>
        <v>1.2223476109701801</v>
      </c>
      <c r="K206" s="388">
        <f t="shared" si="50"/>
        <v>1.3510157805459888</v>
      </c>
      <c r="L206" s="1316">
        <v>1.2966294425140921</v>
      </c>
      <c r="M206" s="61" t="b">
        <f t="shared" si="45"/>
        <v>1</v>
      </c>
      <c r="N206" s="857">
        <f t="shared" si="51"/>
        <v>1.2966294425140921</v>
      </c>
      <c r="O206" s="15"/>
      <c r="P206" s="445">
        <f t="shared" si="57"/>
        <v>-6.0134897279974883E-2</v>
      </c>
      <c r="Q206" s="445">
        <f t="shared" si="43"/>
        <v>6.2223594878618033E-2</v>
      </c>
      <c r="R206" s="445">
        <f t="shared" si="46"/>
        <v>0</v>
      </c>
      <c r="S206" s="445">
        <f t="shared" si="46"/>
        <v>2.3441185029239252E-3</v>
      </c>
      <c r="T206" s="445">
        <f t="shared" si="46"/>
        <v>5.428933955771291E-2</v>
      </c>
      <c r="U206" s="445">
        <f t="shared" si="46"/>
        <v>-7.1048781915085566E-3</v>
      </c>
      <c r="V206" s="445">
        <f t="shared" si="46"/>
        <v>-2.672935394725428E-4</v>
      </c>
      <c r="W206" s="445">
        <f t="shared" si="46"/>
        <v>-2.2100489592965882E-2</v>
      </c>
      <c r="X206" s="445">
        <f t="shared" si="46"/>
        <v>1.7438045517393155E-3</v>
      </c>
      <c r="Y206" s="43"/>
      <c r="Z206" s="388">
        <f t="shared" si="53"/>
        <v>1.3276227414011643</v>
      </c>
      <c r="AA206" s="43"/>
      <c r="AB206" s="462">
        <f>IF('TAR_Tab 2_Volumina'!C209="storage",1,0)</f>
        <v>0</v>
      </c>
      <c r="AC206" s="389">
        <f t="shared" si="52"/>
        <v>1.3276227414011643</v>
      </c>
      <c r="AD206" s="389">
        <f t="shared" si="54"/>
        <v>1.4169599718493842</v>
      </c>
      <c r="AE206" s="43"/>
      <c r="AF206" s="1027">
        <f t="shared" si="55"/>
        <v>1.4169599718493842</v>
      </c>
      <c r="AG206" s="392">
        <f t="shared" si="56"/>
        <v>1.417</v>
      </c>
      <c r="AH206" s="392">
        <f>AG206+'TAR_Tab 14_Overige tarieven'!$AA$14+'TAR_Tab 14_Overige tarieven'!$AA$15</f>
        <v>1.597</v>
      </c>
      <c r="AI206" s="43"/>
    </row>
    <row r="207" spans="1:35">
      <c r="A207" s="96">
        <v>300573</v>
      </c>
      <c r="B207" s="1286" t="s">
        <v>151</v>
      </c>
      <c r="C207" s="1022"/>
      <c r="D207" s="1358"/>
      <c r="E207" s="1022"/>
      <c r="F207" s="1032">
        <v>1.2268394155109705</v>
      </c>
      <c r="G207" s="390">
        <f t="shared" si="47"/>
        <v>1.1674603878002396</v>
      </c>
      <c r="H207" s="390">
        <f t="shared" si="48"/>
        <v>1.1947451109661591</v>
      </c>
      <c r="I207" s="387"/>
      <c r="J207" s="388">
        <f t="shared" si="49"/>
        <v>1.1350078554178511</v>
      </c>
      <c r="K207" s="388">
        <f t="shared" si="50"/>
        <v>1.2544823665144671</v>
      </c>
      <c r="L207" s="1316">
        <v>1.2039820666491785</v>
      </c>
      <c r="M207" s="61" t="b">
        <f t="shared" si="45"/>
        <v>1</v>
      </c>
      <c r="N207" s="857">
        <f t="shared" si="51"/>
        <v>1.2039820666491785</v>
      </c>
      <c r="O207" s="15"/>
      <c r="P207" s="445">
        <f t="shared" si="57"/>
        <v>-5.5838110358267107E-2</v>
      </c>
      <c r="Q207" s="445">
        <f t="shared" si="43"/>
        <v>5.7777565355173227E-2</v>
      </c>
      <c r="R207" s="445">
        <f t="shared" si="46"/>
        <v>0</v>
      </c>
      <c r="S207" s="445">
        <f t="shared" si="46"/>
        <v>2.1766254467804535E-3</v>
      </c>
      <c r="T207" s="445">
        <f t="shared" si="46"/>
        <v>5.0410232171635885E-2</v>
      </c>
      <c r="U207" s="445">
        <f t="shared" si="46"/>
        <v>-6.5972170982922761E-3</v>
      </c>
      <c r="V207" s="445">
        <f t="shared" si="46"/>
        <v>-2.4819475596060924E-4</v>
      </c>
      <c r="W207" s="445">
        <f t="shared" si="46"/>
        <v>-2.0521355031476958E-2</v>
      </c>
      <c r="X207" s="445">
        <f t="shared" si="46"/>
        <v>1.6192054099623974E-3</v>
      </c>
      <c r="Y207" s="43"/>
      <c r="Z207" s="388">
        <f t="shared" si="53"/>
        <v>1.2327608177887335</v>
      </c>
      <c r="AA207" s="43"/>
      <c r="AB207" s="462">
        <f>IF('TAR_Tab 2_Volumina'!C210="storage",1,0)</f>
        <v>0</v>
      </c>
      <c r="AC207" s="389">
        <f t="shared" si="52"/>
        <v>1.2327608177887335</v>
      </c>
      <c r="AD207" s="389">
        <f t="shared" si="54"/>
        <v>1.3157146824913644</v>
      </c>
      <c r="AE207" s="43"/>
      <c r="AF207" s="1027">
        <f t="shared" si="55"/>
        <v>1.3157146824913644</v>
      </c>
      <c r="AG207" s="392">
        <f t="shared" si="56"/>
        <v>1.3160000000000001</v>
      </c>
      <c r="AH207" s="392">
        <f>AG207+'TAR_Tab 14_Overige tarieven'!$AA$14+'TAR_Tab 14_Overige tarieven'!$AA$15</f>
        <v>1.496</v>
      </c>
      <c r="AI207" s="43"/>
    </row>
    <row r="208" spans="1:35">
      <c r="A208" s="96">
        <v>300582</v>
      </c>
      <c r="B208" s="1286" t="s">
        <v>152</v>
      </c>
      <c r="C208" s="1022"/>
      <c r="D208" s="1358"/>
      <c r="E208" s="1022"/>
      <c r="F208" s="1032">
        <v>2.0558226052294888</v>
      </c>
      <c r="G208" s="390">
        <f t="shared" si="47"/>
        <v>1.9563207911363816</v>
      </c>
      <c r="H208" s="390">
        <f t="shared" si="48"/>
        <v>2.0020419751420029</v>
      </c>
      <c r="I208" s="387"/>
      <c r="J208" s="388">
        <f t="shared" si="49"/>
        <v>1.9019398763849027</v>
      </c>
      <c r="K208" s="388">
        <f t="shared" si="50"/>
        <v>2.1021440738991033</v>
      </c>
      <c r="L208" s="1316">
        <v>2.0175204004815939</v>
      </c>
      <c r="M208" s="61" t="b">
        <f t="shared" si="45"/>
        <v>1</v>
      </c>
      <c r="N208" s="857">
        <f t="shared" si="51"/>
        <v>2.0175204004815939</v>
      </c>
      <c r="O208" s="15"/>
      <c r="P208" s="445">
        <f t="shared" si="57"/>
        <v>-9.3568276382784574E-2</v>
      </c>
      <c r="Q208" s="445">
        <f t="shared" si="43"/>
        <v>9.6818233446484103E-2</v>
      </c>
      <c r="R208" s="445">
        <f t="shared" si="46"/>
        <v>0</v>
      </c>
      <c r="S208" s="445">
        <f t="shared" si="46"/>
        <v>3.6473850937901965E-3</v>
      </c>
      <c r="T208" s="445">
        <f t="shared" si="46"/>
        <v>8.4472746410868105E-2</v>
      </c>
      <c r="U208" s="445">
        <f t="shared" si="46"/>
        <v>-1.1054998617424575E-2</v>
      </c>
      <c r="V208" s="445">
        <f t="shared" si="46"/>
        <v>-4.1590152985973583E-4</v>
      </c>
      <c r="W208" s="445">
        <f t="shared" si="46"/>
        <v>-3.4387765041017281E-2</v>
      </c>
      <c r="X208" s="445">
        <f t="shared" si="46"/>
        <v>2.7133127956474688E-3</v>
      </c>
      <c r="Y208" s="43"/>
      <c r="Z208" s="388">
        <f t="shared" si="53"/>
        <v>2.0657451366572976</v>
      </c>
      <c r="AA208" s="43"/>
      <c r="AB208" s="462">
        <f>IF('TAR_Tab 2_Volumina'!C211="storage",1,0)</f>
        <v>0</v>
      </c>
      <c r="AC208" s="389">
        <f t="shared" si="52"/>
        <v>2.0657451366572976</v>
      </c>
      <c r="AD208" s="389">
        <f t="shared" si="54"/>
        <v>2.2047514549176128</v>
      </c>
      <c r="AE208" s="43"/>
      <c r="AF208" s="1027">
        <f t="shared" si="55"/>
        <v>2.2047514549176128</v>
      </c>
      <c r="AG208" s="392">
        <f t="shared" si="56"/>
        <v>2.2050000000000001</v>
      </c>
      <c r="AH208" s="392">
        <f>AG208+'TAR_Tab 14_Overige tarieven'!$AA$14+'TAR_Tab 14_Overige tarieven'!$AA$15</f>
        <v>2.3850000000000002</v>
      </c>
      <c r="AI208" s="43"/>
    </row>
    <row r="209" spans="1:35">
      <c r="A209" s="96">
        <v>300585</v>
      </c>
      <c r="B209" s="1286" t="s">
        <v>284</v>
      </c>
      <c r="C209" s="1022"/>
      <c r="D209" s="1358"/>
      <c r="E209" s="1022"/>
      <c r="F209" s="1032">
        <v>2.0428237268890301</v>
      </c>
      <c r="G209" s="390">
        <f t="shared" si="47"/>
        <v>1.943951058507601</v>
      </c>
      <c r="H209" s="390">
        <f t="shared" si="48"/>
        <v>1.9893831494236927</v>
      </c>
      <c r="I209" s="387"/>
      <c r="J209" s="388">
        <f t="shared" si="49"/>
        <v>1.8899139919525079</v>
      </c>
      <c r="K209" s="388">
        <f t="shared" si="50"/>
        <v>2.0888523068948772</v>
      </c>
      <c r="L209" s="1316">
        <v>2.0047637053423624</v>
      </c>
      <c r="M209" s="61" t="b">
        <f t="shared" si="45"/>
        <v>1</v>
      </c>
      <c r="N209" s="857">
        <f t="shared" si="51"/>
        <v>2.0047637053423624</v>
      </c>
      <c r="O209" s="15"/>
      <c r="P209" s="445">
        <f t="shared" si="57"/>
        <v>-9.2976648176084101E-2</v>
      </c>
      <c r="Q209" s="445">
        <f t="shared" si="43"/>
        <v>9.620605590037308E-2</v>
      </c>
      <c r="R209" s="445">
        <f t="shared" si="46"/>
        <v>0</v>
      </c>
      <c r="S209" s="445">
        <f t="shared" si="46"/>
        <v>3.6243228339559205E-3</v>
      </c>
      <c r="T209" s="445">
        <f t="shared" si="46"/>
        <v>8.3938628850877231E-2</v>
      </c>
      <c r="U209" s="445">
        <f t="shared" si="46"/>
        <v>-1.0985098334337749E-2</v>
      </c>
      <c r="V209" s="445">
        <f t="shared" si="46"/>
        <v>-4.132718022876656E-4</v>
      </c>
      <c r="W209" s="445">
        <f t="shared" si="46"/>
        <v>-3.4170332674512804E-2</v>
      </c>
      <c r="X209" s="445">
        <f t="shared" si="46"/>
        <v>2.696156634974601E-3</v>
      </c>
      <c r="Y209" s="43"/>
      <c r="Z209" s="388">
        <f t="shared" si="53"/>
        <v>2.0526835185753209</v>
      </c>
      <c r="AA209" s="43"/>
      <c r="AB209" s="462">
        <f>IF('TAR_Tab 2_Volumina'!C212="storage",1,0)</f>
        <v>0</v>
      </c>
      <c r="AC209" s="389">
        <f t="shared" si="52"/>
        <v>2.0526835185753209</v>
      </c>
      <c r="AD209" s="389">
        <f t="shared" si="54"/>
        <v>2.190810905834963</v>
      </c>
      <c r="AE209" s="43"/>
      <c r="AF209" s="1027">
        <f t="shared" si="55"/>
        <v>2.190810905834963</v>
      </c>
      <c r="AG209" s="392">
        <f t="shared" si="56"/>
        <v>2.1909999999999998</v>
      </c>
      <c r="AH209" s="392">
        <f>AG209+'TAR_Tab 14_Overige tarieven'!$AA$14+'TAR_Tab 14_Overige tarieven'!$AA$15</f>
        <v>2.371</v>
      </c>
      <c r="AI209" s="43"/>
    </row>
    <row r="210" spans="1:35">
      <c r="A210" s="96">
        <v>300587</v>
      </c>
      <c r="B210" s="1286" t="s">
        <v>153</v>
      </c>
      <c r="C210" s="1022"/>
      <c r="D210" s="1358"/>
      <c r="E210" s="1022"/>
      <c r="F210" s="1032">
        <v>1.159886611128742</v>
      </c>
      <c r="G210" s="390">
        <f t="shared" si="47"/>
        <v>1.103748099150111</v>
      </c>
      <c r="H210" s="390">
        <f t="shared" si="48"/>
        <v>1.1295438020663915</v>
      </c>
      <c r="I210" s="387"/>
      <c r="J210" s="388">
        <f t="shared" si="49"/>
        <v>1.0730666119630718</v>
      </c>
      <c r="K210" s="388">
        <f t="shared" si="50"/>
        <v>1.1860209921697111</v>
      </c>
      <c r="L210" s="1316">
        <v>1.1382766656252798</v>
      </c>
      <c r="M210" s="61" t="b">
        <f t="shared" si="45"/>
        <v>1</v>
      </c>
      <c r="N210" s="857">
        <f t="shared" si="51"/>
        <v>1.1382766656252798</v>
      </c>
      <c r="O210" s="15"/>
      <c r="P210" s="445">
        <f t="shared" si="57"/>
        <v>-5.2790834543173341E-2</v>
      </c>
      <c r="Q210" s="445">
        <f t="shared" si="43"/>
        <v>5.4624446876912411E-2</v>
      </c>
      <c r="R210" s="445">
        <f t="shared" si="46"/>
        <v>0</v>
      </c>
      <c r="S210" s="445">
        <f t="shared" si="46"/>
        <v>2.0578395845810581E-3</v>
      </c>
      <c r="T210" s="445">
        <f t="shared" si="46"/>
        <v>4.7659174151508166E-2</v>
      </c>
      <c r="U210" s="445">
        <f t="shared" si="46"/>
        <v>-6.237184497232511E-3</v>
      </c>
      <c r="V210" s="445">
        <f t="shared" si="46"/>
        <v>-2.3464992300657129E-4</v>
      </c>
      <c r="W210" s="445">
        <f t="shared" si="46"/>
        <v>-1.9401434810696887E-2</v>
      </c>
      <c r="X210" s="445">
        <f t="shared" si="46"/>
        <v>1.5308398572280925E-3</v>
      </c>
      <c r="Y210" s="43"/>
      <c r="Z210" s="388">
        <f t="shared" si="53"/>
        <v>1.1654848623214003</v>
      </c>
      <c r="AA210" s="43"/>
      <c r="AB210" s="462">
        <f>IF('TAR_Tab 2_Volumina'!C213="storage",1,0)</f>
        <v>0</v>
      </c>
      <c r="AC210" s="389">
        <f t="shared" si="52"/>
        <v>1.1654848623214003</v>
      </c>
      <c r="AD210" s="389">
        <f t="shared" si="54"/>
        <v>1.2439116521632418</v>
      </c>
      <c r="AE210" s="43"/>
      <c r="AF210" s="1027">
        <f t="shared" si="55"/>
        <v>1.2439116521632418</v>
      </c>
      <c r="AG210" s="392">
        <f t="shared" si="56"/>
        <v>1.244</v>
      </c>
      <c r="AH210" s="392">
        <f>AG210+'TAR_Tab 14_Overige tarieven'!$AA$14+'TAR_Tab 14_Overige tarieven'!$AA$15</f>
        <v>1.4239999999999999</v>
      </c>
      <c r="AI210" s="43"/>
    </row>
    <row r="211" spans="1:35">
      <c r="A211" s="96">
        <v>300591</v>
      </c>
      <c r="B211" s="1286" t="s">
        <v>285</v>
      </c>
      <c r="C211" s="1022"/>
      <c r="D211" s="1358"/>
      <c r="E211" s="1022"/>
      <c r="F211" s="1032">
        <v>1.2208946502846334</v>
      </c>
      <c r="G211" s="390">
        <f t="shared" si="47"/>
        <v>1.161803349210857</v>
      </c>
      <c r="H211" s="390">
        <f t="shared" si="48"/>
        <v>1.1889558616966858</v>
      </c>
      <c r="I211" s="387"/>
      <c r="J211" s="388">
        <f t="shared" si="49"/>
        <v>1.1295080686118515</v>
      </c>
      <c r="K211" s="388">
        <f t="shared" si="50"/>
        <v>1.24840365478152</v>
      </c>
      <c r="L211" s="1316">
        <v>1.1981480588463165</v>
      </c>
      <c r="M211" s="61" t="b">
        <f t="shared" si="45"/>
        <v>1</v>
      </c>
      <c r="N211" s="857">
        <f t="shared" si="51"/>
        <v>1.1981480588463165</v>
      </c>
      <c r="O211" s="15"/>
      <c r="P211" s="445">
        <f t="shared" si="57"/>
        <v>-5.5567541567791819E-2</v>
      </c>
      <c r="Q211" s="445">
        <f t="shared" si="43"/>
        <v>5.7497598753967469E-2</v>
      </c>
      <c r="R211" s="445">
        <f t="shared" si="46"/>
        <v>0</v>
      </c>
      <c r="S211" s="445">
        <f t="shared" si="46"/>
        <v>2.1660784044347427E-3</v>
      </c>
      <c r="T211" s="445">
        <f t="shared" si="46"/>
        <v>5.016596467299124E-2</v>
      </c>
      <c r="U211" s="445">
        <f t="shared" si="46"/>
        <v>-6.5652496653090513E-3</v>
      </c>
      <c r="V211" s="445">
        <f t="shared" si="46"/>
        <v>-2.469921050382965E-4</v>
      </c>
      <c r="W211" s="445">
        <f t="shared" si="46"/>
        <v>-2.0421916884767563E-2</v>
      </c>
      <c r="X211" s="445">
        <f t="shared" si="46"/>
        <v>1.611359398582471E-3</v>
      </c>
      <c r="Y211" s="43"/>
      <c r="Z211" s="388">
        <f t="shared" si="53"/>
        <v>1.2267873598533856</v>
      </c>
      <c r="AA211" s="43"/>
      <c r="AB211" s="462">
        <f>IF('TAR_Tab 2_Volumina'!C214="storage",1,0)</f>
        <v>0</v>
      </c>
      <c r="AC211" s="389">
        <f t="shared" si="52"/>
        <v>1.2267873598533856</v>
      </c>
      <c r="AD211" s="389">
        <f t="shared" si="54"/>
        <v>1.3093392638396915</v>
      </c>
      <c r="AE211" s="43"/>
      <c r="AF211" s="1027">
        <f t="shared" si="55"/>
        <v>1.3093392638396915</v>
      </c>
      <c r="AG211" s="392">
        <f t="shared" si="56"/>
        <v>1.3089999999999999</v>
      </c>
      <c r="AH211" s="392">
        <f>AG211+'TAR_Tab 14_Overige tarieven'!$AA$14+'TAR_Tab 14_Overige tarieven'!$AA$15</f>
        <v>1.4889999999999999</v>
      </c>
      <c r="AI211" s="43"/>
    </row>
    <row r="212" spans="1:35">
      <c r="A212" s="96">
        <v>300592</v>
      </c>
      <c r="B212" s="1286" t="s">
        <v>286</v>
      </c>
      <c r="C212" s="1022"/>
      <c r="D212" s="1358"/>
      <c r="E212" s="1022"/>
      <c r="F212" s="1032">
        <v>1.702853062600107</v>
      </c>
      <c r="G212" s="390">
        <f t="shared" si="47"/>
        <v>1.620434974370262</v>
      </c>
      <c r="H212" s="390">
        <f t="shared" si="48"/>
        <v>1.6583061690986536</v>
      </c>
      <c r="I212" s="387"/>
      <c r="J212" s="388">
        <f t="shared" si="49"/>
        <v>1.5753908606437208</v>
      </c>
      <c r="K212" s="388">
        <f t="shared" si="50"/>
        <v>1.7412214775535864</v>
      </c>
      <c r="L212" s="1316">
        <v>1.6711270632393753</v>
      </c>
      <c r="M212" s="61" t="b">
        <f t="shared" si="45"/>
        <v>1</v>
      </c>
      <c r="N212" s="857">
        <f t="shared" si="51"/>
        <v>1.6711270632393753</v>
      </c>
      <c r="O212" s="15"/>
      <c r="P212" s="445">
        <f t="shared" si="57"/>
        <v>-7.7503295077763712E-2</v>
      </c>
      <c r="Q212" s="445">
        <f t="shared" si="43"/>
        <v>8.0195258540545961E-2</v>
      </c>
      <c r="R212" s="445">
        <f t="shared" si="46"/>
        <v>0</v>
      </c>
      <c r="S212" s="445">
        <f t="shared" si="46"/>
        <v>3.021156038290227E-3</v>
      </c>
      <c r="T212" s="445">
        <f t="shared" si="46"/>
        <v>6.996940035880761E-2</v>
      </c>
      <c r="U212" s="445">
        <f t="shared" si="46"/>
        <v>-9.1569370843745425E-3</v>
      </c>
      <c r="V212" s="445">
        <f t="shared" si="46"/>
        <v>-3.4449431194121129E-4</v>
      </c>
      <c r="W212" s="445">
        <f t="shared" si="46"/>
        <v>-2.8483640012087769E-2</v>
      </c>
      <c r="X212" s="445">
        <f t="shared" si="46"/>
        <v>2.24745704814574E-3</v>
      </c>
      <c r="Y212" s="43"/>
      <c r="Z212" s="388">
        <f t="shared" si="53"/>
        <v>1.7110719687389977</v>
      </c>
      <c r="AA212" s="43"/>
      <c r="AB212" s="462">
        <f>IF('TAR_Tab 2_Volumina'!C215="storage",1,0)</f>
        <v>0</v>
      </c>
      <c r="AC212" s="389">
        <f t="shared" si="52"/>
        <v>1.7110719687389977</v>
      </c>
      <c r="AD212" s="389">
        <f t="shared" si="54"/>
        <v>1.8262119298271868</v>
      </c>
      <c r="AE212" s="43"/>
      <c r="AF212" s="1027">
        <f t="shared" si="55"/>
        <v>1.8262119298271868</v>
      </c>
      <c r="AG212" s="392">
        <f t="shared" si="56"/>
        <v>1.8260000000000001</v>
      </c>
      <c r="AH212" s="392">
        <f>AG212+'TAR_Tab 14_Overige tarieven'!$AA$14+'TAR_Tab 14_Overige tarieven'!$AA$15</f>
        <v>2.0060000000000002</v>
      </c>
      <c r="AI212" s="43"/>
    </row>
    <row r="213" spans="1:35">
      <c r="A213" s="96">
        <v>300595</v>
      </c>
      <c r="B213" s="1286" t="s">
        <v>795</v>
      </c>
      <c r="C213" s="1022"/>
      <c r="D213" s="1358"/>
      <c r="E213" s="1022"/>
      <c r="F213" s="1032">
        <v>1.7508489210879548</v>
      </c>
      <c r="G213" s="390">
        <f t="shared" si="47"/>
        <v>1.6661078333072978</v>
      </c>
      <c r="H213" s="390">
        <f t="shared" si="48"/>
        <v>1.7050464486739529</v>
      </c>
      <c r="I213" s="387"/>
      <c r="J213" s="388">
        <f t="shared" si="49"/>
        <v>1.6197941262402553</v>
      </c>
      <c r="K213" s="388">
        <f t="shared" si="50"/>
        <v>1.7902987711076506</v>
      </c>
      <c r="L213" s="1316">
        <v>1.718228706830385</v>
      </c>
      <c r="M213" s="61" t="b">
        <f t="shared" si="45"/>
        <v>1</v>
      </c>
      <c r="N213" s="857">
        <f t="shared" si="51"/>
        <v>1.718228706830385</v>
      </c>
      <c r="O213" s="15"/>
      <c r="P213" s="445">
        <f t="shared" si="57"/>
        <v>-7.9687768456350103E-2</v>
      </c>
      <c r="Q213" s="445">
        <f t="shared" ref="Q213:X276" si="58">$N213*Q$5</f>
        <v>8.2455606403109782E-2</v>
      </c>
      <c r="R213" s="445">
        <f t="shared" si="46"/>
        <v>0</v>
      </c>
      <c r="S213" s="445">
        <f t="shared" si="46"/>
        <v>3.1063089976783244E-3</v>
      </c>
      <c r="T213" s="445">
        <f t="shared" si="46"/>
        <v>7.1941526734158601E-2</v>
      </c>
      <c r="U213" s="445">
        <f t="shared" si="46"/>
        <v>-9.4150304373105224E-3</v>
      </c>
      <c r="V213" s="445">
        <f t="shared" si="46"/>
        <v>-3.5420407528424005E-4</v>
      </c>
      <c r="W213" s="445">
        <f t="shared" si="46"/>
        <v>-2.9286467211488948E-2</v>
      </c>
      <c r="X213" s="445">
        <f t="shared" si="46"/>
        <v>2.3108028721686375E-3</v>
      </c>
      <c r="Y213" s="43"/>
      <c r="Z213" s="388">
        <f t="shared" si="53"/>
        <v>1.7592994816570664</v>
      </c>
      <c r="AA213" s="43"/>
      <c r="AB213" s="462">
        <f>IF('TAR_Tab 2_Volumina'!C216="storage",1,0)</f>
        <v>0</v>
      </c>
      <c r="AC213" s="389">
        <f t="shared" si="52"/>
        <v>1.7592994816570664</v>
      </c>
      <c r="AD213" s="389">
        <f t="shared" si="54"/>
        <v>1.8776847264400489</v>
      </c>
      <c r="AE213" s="43"/>
      <c r="AF213" s="1027">
        <f t="shared" si="55"/>
        <v>1.8776847264400489</v>
      </c>
      <c r="AG213" s="392">
        <f t="shared" si="56"/>
        <v>1.8779999999999999</v>
      </c>
      <c r="AH213" s="392">
        <f>AG213+'TAR_Tab 14_Overige tarieven'!$AA$14+'TAR_Tab 14_Overige tarieven'!$AA$15</f>
        <v>2.0579999999999998</v>
      </c>
      <c r="AI213" s="43"/>
    </row>
    <row r="214" spans="1:35">
      <c r="A214" s="96">
        <v>300596</v>
      </c>
      <c r="B214" s="1286" t="s">
        <v>287</v>
      </c>
      <c r="C214" s="1022"/>
      <c r="D214" s="1358"/>
      <c r="E214" s="1022"/>
      <c r="F214" s="1032">
        <v>1.9418324413208499</v>
      </c>
      <c r="G214" s="390">
        <f t="shared" si="47"/>
        <v>1.8478477511609208</v>
      </c>
      <c r="H214" s="390">
        <f t="shared" si="48"/>
        <v>1.8910338111506664</v>
      </c>
      <c r="I214" s="387"/>
      <c r="J214" s="388">
        <f t="shared" si="49"/>
        <v>1.7964821205931329</v>
      </c>
      <c r="K214" s="388">
        <f t="shared" si="50"/>
        <v>1.9855855017081998</v>
      </c>
      <c r="L214" s="1316">
        <v>1.9056539969529456</v>
      </c>
      <c r="M214" s="61" t="b">
        <f t="shared" si="45"/>
        <v>1</v>
      </c>
      <c r="N214" s="857">
        <f t="shared" si="51"/>
        <v>1.9056539969529456</v>
      </c>
      <c r="O214" s="15"/>
      <c r="P214" s="445">
        <f t="shared" si="57"/>
        <v>-8.8380152108641863E-2</v>
      </c>
      <c r="Q214" s="445">
        <f t="shared" si="58"/>
        <v>9.1449907272895023E-2</v>
      </c>
      <c r="R214" s="445">
        <f t="shared" si="46"/>
        <v>0</v>
      </c>
      <c r="S214" s="445">
        <f t="shared" si="46"/>
        <v>3.4451468152434644E-3</v>
      </c>
      <c r="T214" s="445">
        <f t="shared" si="46"/>
        <v>7.978894626940948E-2</v>
      </c>
      <c r="U214" s="445">
        <f t="shared" si="46"/>
        <v>-1.044202690420162E-2</v>
      </c>
      <c r="V214" s="445">
        <f t="shared" si="46"/>
        <v>-3.928408419200424E-4</v>
      </c>
      <c r="W214" s="445">
        <f t="shared" si="46"/>
        <v>-3.2481050442439485E-2</v>
      </c>
      <c r="X214" s="445">
        <f t="shared" si="46"/>
        <v>2.5628664635930862E-3</v>
      </c>
      <c r="Y214" s="43"/>
      <c r="Z214" s="388">
        <f t="shared" si="53"/>
        <v>1.9512047934768837</v>
      </c>
      <c r="AA214" s="43"/>
      <c r="AB214" s="462">
        <f>IF('TAR_Tab 2_Volumina'!C217="storage",1,0)</f>
        <v>0</v>
      </c>
      <c r="AC214" s="389">
        <f t="shared" si="52"/>
        <v>1.9512047934768837</v>
      </c>
      <c r="AD214" s="389">
        <f t="shared" si="54"/>
        <v>2.0825035629620645</v>
      </c>
      <c r="AE214" s="43"/>
      <c r="AF214" s="1027">
        <f t="shared" si="55"/>
        <v>2.0825035629620645</v>
      </c>
      <c r="AG214" s="392">
        <f t="shared" si="56"/>
        <v>2.0830000000000002</v>
      </c>
      <c r="AH214" s="392">
        <f>AG214+'TAR_Tab 14_Overige tarieven'!$AA$14+'TAR_Tab 14_Overige tarieven'!$AA$15</f>
        <v>2.2630000000000003</v>
      </c>
      <c r="AI214" s="43"/>
    </row>
    <row r="215" spans="1:35">
      <c r="A215" s="96">
        <v>300599</v>
      </c>
      <c r="B215" s="1286" t="s">
        <v>154</v>
      </c>
      <c r="C215" s="1022"/>
      <c r="D215" s="1358"/>
      <c r="E215" s="1022"/>
      <c r="F215" s="1032">
        <v>1.8313006494406647</v>
      </c>
      <c r="G215" s="390">
        <f t="shared" si="47"/>
        <v>1.7426656980077366</v>
      </c>
      <c r="H215" s="390">
        <f t="shared" si="48"/>
        <v>1.7833935476527911</v>
      </c>
      <c r="I215" s="387"/>
      <c r="J215" s="388">
        <f t="shared" si="49"/>
        <v>1.6942238702701515</v>
      </c>
      <c r="K215" s="388">
        <f t="shared" si="50"/>
        <v>1.8725632250354307</v>
      </c>
      <c r="L215" s="1316">
        <v>1.7971815322311337</v>
      </c>
      <c r="M215" s="61" t="b">
        <f t="shared" si="45"/>
        <v>1</v>
      </c>
      <c r="N215" s="857">
        <f t="shared" si="51"/>
        <v>1.7971815322311337</v>
      </c>
      <c r="O215" s="15"/>
      <c r="P215" s="445">
        <f t="shared" si="57"/>
        <v>-8.3349431449465591E-2</v>
      </c>
      <c r="Q215" s="445">
        <f t="shared" si="58"/>
        <v>8.6244451898344676E-2</v>
      </c>
      <c r="R215" s="445">
        <f t="shared" si="46"/>
        <v>0</v>
      </c>
      <c r="S215" s="445">
        <f t="shared" si="46"/>
        <v>3.249044287200339E-3</v>
      </c>
      <c r="T215" s="445">
        <f t="shared" si="46"/>
        <v>7.5247248944901549E-2</v>
      </c>
      <c r="U215" s="445">
        <f t="shared" si="46"/>
        <v>-9.8476522712402786E-3</v>
      </c>
      <c r="V215" s="445">
        <f t="shared" si="46"/>
        <v>-3.7047979713720461E-4</v>
      </c>
      <c r="W215" s="445">
        <f t="shared" si="46"/>
        <v>-3.0632184066970221E-2</v>
      </c>
      <c r="X215" s="445">
        <f t="shared" si="46"/>
        <v>2.4169845550706969E-3</v>
      </c>
      <c r="Y215" s="43"/>
      <c r="Z215" s="388">
        <f t="shared" si="53"/>
        <v>1.8401395143318378</v>
      </c>
      <c r="AA215" s="43"/>
      <c r="AB215" s="462">
        <f>IF('TAR_Tab 2_Volumina'!C218="storage",1,0)</f>
        <v>0</v>
      </c>
      <c r="AC215" s="389">
        <f t="shared" si="52"/>
        <v>1.8401395143318378</v>
      </c>
      <c r="AD215" s="389">
        <f t="shared" si="54"/>
        <v>1.9639645760170867</v>
      </c>
      <c r="AE215" s="43"/>
      <c r="AF215" s="1027">
        <f t="shared" si="55"/>
        <v>1.9639645760170867</v>
      </c>
      <c r="AG215" s="392">
        <f t="shared" si="56"/>
        <v>1.964</v>
      </c>
      <c r="AH215" s="392">
        <f>AG215+'TAR_Tab 14_Overige tarieven'!$AA$14+'TAR_Tab 14_Overige tarieven'!$AA$15</f>
        <v>2.1440000000000001</v>
      </c>
      <c r="AI215" s="43"/>
    </row>
    <row r="216" spans="1:35">
      <c r="A216" s="96">
        <v>300600</v>
      </c>
      <c r="B216" s="1286" t="s">
        <v>288</v>
      </c>
      <c r="C216" s="1022"/>
      <c r="D216" s="1358"/>
      <c r="E216" s="1022"/>
      <c r="F216" s="1032">
        <v>2.1198170832132859</v>
      </c>
      <c r="G216" s="390">
        <f t="shared" si="47"/>
        <v>2.0172179363857627</v>
      </c>
      <c r="H216" s="390">
        <f t="shared" si="48"/>
        <v>2.0643623479090687</v>
      </c>
      <c r="I216" s="387"/>
      <c r="J216" s="388">
        <f t="shared" si="49"/>
        <v>1.9611442305136151</v>
      </c>
      <c r="K216" s="388">
        <f t="shared" si="50"/>
        <v>2.1675804653045221</v>
      </c>
      <c r="L216" s="1316">
        <v>2.0803225919362736</v>
      </c>
      <c r="M216" s="61" t="b">
        <f t="shared" si="45"/>
        <v>1</v>
      </c>
      <c r="N216" s="857">
        <f t="shared" si="51"/>
        <v>2.0803225919362736</v>
      </c>
      <c r="O216" s="15"/>
      <c r="P216" s="445">
        <f t="shared" si="57"/>
        <v>-9.6480907554233108E-2</v>
      </c>
      <c r="Q216" s="445">
        <f t="shared" si="58"/>
        <v>9.9832030596569199E-2</v>
      </c>
      <c r="R216" s="445">
        <f t="shared" si="46"/>
        <v>0</v>
      </c>
      <c r="S216" s="445">
        <f t="shared" si="46"/>
        <v>3.7609223729743266E-3</v>
      </c>
      <c r="T216" s="445">
        <f t="shared" si="46"/>
        <v>8.7102248244669445E-2</v>
      </c>
      <c r="U216" s="445">
        <f t="shared" si="46"/>
        <v>-1.1399123088005883E-2</v>
      </c>
      <c r="V216" s="445">
        <f t="shared" si="46"/>
        <v>-4.2884788098377426E-4</v>
      </c>
      <c r="W216" s="445">
        <f t="shared" si="46"/>
        <v>-3.5458201306885519E-2</v>
      </c>
      <c r="X216" s="445">
        <f t="shared" si="46"/>
        <v>2.797773894344666E-3</v>
      </c>
      <c r="Y216" s="43"/>
      <c r="Z216" s="388">
        <f t="shared" si="53"/>
        <v>2.1300484872147227</v>
      </c>
      <c r="AA216" s="43"/>
      <c r="AB216" s="462">
        <f>IF('TAR_Tab 2_Volumina'!C219="storage",1,0)</f>
        <v>0</v>
      </c>
      <c r="AC216" s="389">
        <f t="shared" si="52"/>
        <v>2.1300484872147227</v>
      </c>
      <c r="AD216" s="389">
        <f t="shared" si="54"/>
        <v>2.2733818504014289</v>
      </c>
      <c r="AE216" s="43"/>
      <c r="AF216" s="1027">
        <f t="shared" si="55"/>
        <v>2.2733818504014289</v>
      </c>
      <c r="AG216" s="392">
        <f t="shared" si="56"/>
        <v>2.2730000000000001</v>
      </c>
      <c r="AH216" s="392">
        <f>AG216+'TAR_Tab 14_Overige tarieven'!$AA$14+'TAR_Tab 14_Overige tarieven'!$AA$15</f>
        <v>2.4530000000000003</v>
      </c>
      <c r="AI216" s="43"/>
    </row>
    <row r="217" spans="1:35">
      <c r="A217" s="96">
        <v>300601</v>
      </c>
      <c r="B217" s="1286" t="s">
        <v>289</v>
      </c>
      <c r="C217" s="1022"/>
      <c r="D217" s="1358"/>
      <c r="E217" s="1022"/>
      <c r="F217" s="1032">
        <v>2.0558226052294888</v>
      </c>
      <c r="G217" s="390">
        <f t="shared" si="47"/>
        <v>1.9563207911363816</v>
      </c>
      <c r="H217" s="390">
        <f t="shared" si="48"/>
        <v>2.0020419751420029</v>
      </c>
      <c r="I217" s="387"/>
      <c r="J217" s="388">
        <f t="shared" si="49"/>
        <v>1.9019398763849027</v>
      </c>
      <c r="K217" s="388">
        <f t="shared" si="50"/>
        <v>2.1021440738991033</v>
      </c>
      <c r="L217" s="1316">
        <v>2.0175204004815939</v>
      </c>
      <c r="M217" s="61" t="b">
        <f t="shared" si="45"/>
        <v>1</v>
      </c>
      <c r="N217" s="857">
        <f t="shared" si="51"/>
        <v>2.0175204004815939</v>
      </c>
      <c r="O217" s="15"/>
      <c r="P217" s="445">
        <f t="shared" si="57"/>
        <v>-9.3568276382784574E-2</v>
      </c>
      <c r="Q217" s="445">
        <f t="shared" si="58"/>
        <v>9.6818233446484103E-2</v>
      </c>
      <c r="R217" s="445">
        <f t="shared" si="46"/>
        <v>0</v>
      </c>
      <c r="S217" s="445">
        <f t="shared" si="46"/>
        <v>3.6473850937901965E-3</v>
      </c>
      <c r="T217" s="445">
        <f t="shared" si="46"/>
        <v>8.4472746410868105E-2</v>
      </c>
      <c r="U217" s="445">
        <f t="shared" si="46"/>
        <v>-1.1054998617424575E-2</v>
      </c>
      <c r="V217" s="445">
        <f t="shared" si="46"/>
        <v>-4.1590152985973583E-4</v>
      </c>
      <c r="W217" s="445">
        <f t="shared" si="46"/>
        <v>-3.4387765041017281E-2</v>
      </c>
      <c r="X217" s="445">
        <f t="shared" si="46"/>
        <v>2.7133127956474688E-3</v>
      </c>
      <c r="Y217" s="43"/>
      <c r="Z217" s="388">
        <f t="shared" si="53"/>
        <v>2.0657451366572976</v>
      </c>
      <c r="AA217" s="43"/>
      <c r="AB217" s="462">
        <f>IF('TAR_Tab 2_Volumina'!C220="storage",1,0)</f>
        <v>0</v>
      </c>
      <c r="AC217" s="389">
        <f t="shared" si="52"/>
        <v>2.0657451366572976</v>
      </c>
      <c r="AD217" s="389">
        <f t="shared" si="54"/>
        <v>2.2047514549176128</v>
      </c>
      <c r="AE217" s="43"/>
      <c r="AF217" s="1027">
        <f t="shared" si="55"/>
        <v>2.2047514549176128</v>
      </c>
      <c r="AG217" s="392">
        <f t="shared" si="56"/>
        <v>2.2050000000000001</v>
      </c>
      <c r="AH217" s="392">
        <f>AG217+'TAR_Tab 14_Overige tarieven'!$AA$14+'TAR_Tab 14_Overige tarieven'!$AA$15</f>
        <v>2.3850000000000002</v>
      </c>
      <c r="AI217" s="43"/>
    </row>
    <row r="218" spans="1:35">
      <c r="A218" s="96">
        <v>300603</v>
      </c>
      <c r="B218" s="1286" t="s">
        <v>155</v>
      </c>
      <c r="C218" s="1022"/>
      <c r="D218" s="1358"/>
      <c r="E218" s="1022"/>
      <c r="F218" s="1032">
        <v>2.1198170832132859</v>
      </c>
      <c r="G218" s="390">
        <f t="shared" si="47"/>
        <v>2.0172179363857627</v>
      </c>
      <c r="H218" s="390">
        <f t="shared" si="48"/>
        <v>2.0643623479090687</v>
      </c>
      <c r="I218" s="387"/>
      <c r="J218" s="388">
        <f t="shared" si="49"/>
        <v>1.9611442305136151</v>
      </c>
      <c r="K218" s="388">
        <f t="shared" si="50"/>
        <v>2.1675804653045221</v>
      </c>
      <c r="L218" s="1316">
        <v>2.0803225919362736</v>
      </c>
      <c r="M218" s="61" t="b">
        <f t="shared" si="45"/>
        <v>1</v>
      </c>
      <c r="N218" s="857">
        <f t="shared" si="51"/>
        <v>2.0803225919362736</v>
      </c>
      <c r="O218" s="15"/>
      <c r="P218" s="445">
        <f t="shared" si="57"/>
        <v>-9.6480907554233108E-2</v>
      </c>
      <c r="Q218" s="445">
        <f t="shared" si="58"/>
        <v>9.9832030596569199E-2</v>
      </c>
      <c r="R218" s="445">
        <f t="shared" si="46"/>
        <v>0</v>
      </c>
      <c r="S218" s="445">
        <f t="shared" si="46"/>
        <v>3.7609223729743266E-3</v>
      </c>
      <c r="T218" s="445">
        <f t="shared" si="46"/>
        <v>8.7102248244669445E-2</v>
      </c>
      <c r="U218" s="445">
        <f t="shared" si="46"/>
        <v>-1.1399123088005883E-2</v>
      </c>
      <c r="V218" s="445">
        <f t="shared" si="46"/>
        <v>-4.2884788098377426E-4</v>
      </c>
      <c r="W218" s="445">
        <f t="shared" si="46"/>
        <v>-3.5458201306885519E-2</v>
      </c>
      <c r="X218" s="445">
        <f t="shared" si="46"/>
        <v>2.797773894344666E-3</v>
      </c>
      <c r="Y218" s="43"/>
      <c r="Z218" s="388">
        <f t="shared" si="53"/>
        <v>2.1300484872147227</v>
      </c>
      <c r="AA218" s="43"/>
      <c r="AB218" s="462">
        <f>IF('TAR_Tab 2_Volumina'!C221="storage",1,0)</f>
        <v>0</v>
      </c>
      <c r="AC218" s="389">
        <f t="shared" si="52"/>
        <v>2.1300484872147227</v>
      </c>
      <c r="AD218" s="389">
        <f t="shared" si="54"/>
        <v>2.2733818504014289</v>
      </c>
      <c r="AE218" s="43"/>
      <c r="AF218" s="1027">
        <f t="shared" si="55"/>
        <v>2.2733818504014289</v>
      </c>
      <c r="AG218" s="392">
        <f t="shared" si="56"/>
        <v>2.2730000000000001</v>
      </c>
      <c r="AH218" s="392">
        <f>AG218+'TAR_Tab 14_Overige tarieven'!$AA$14+'TAR_Tab 14_Overige tarieven'!$AA$15</f>
        <v>2.4530000000000003</v>
      </c>
      <c r="AI218" s="43"/>
    </row>
    <row r="219" spans="1:35">
      <c r="A219" s="96">
        <v>300606</v>
      </c>
      <c r="B219" s="1286" t="s">
        <v>156</v>
      </c>
      <c r="C219" s="1022"/>
      <c r="D219" s="1358"/>
      <c r="E219" s="1022"/>
      <c r="F219" s="1032">
        <v>1.4204656648057958</v>
      </c>
      <c r="G219" s="390">
        <f t="shared" si="47"/>
        <v>1.3517151266291954</v>
      </c>
      <c r="H219" s="390">
        <f t="shared" si="48"/>
        <v>1.3833060683130978</v>
      </c>
      <c r="I219" s="387"/>
      <c r="J219" s="388">
        <f t="shared" si="49"/>
        <v>1.3141407648974428</v>
      </c>
      <c r="K219" s="388">
        <f t="shared" si="50"/>
        <v>1.4524713717287527</v>
      </c>
      <c r="L219" s="1316">
        <v>1.3940008489251121</v>
      </c>
      <c r="M219" s="61" t="b">
        <f t="shared" si="45"/>
        <v>1</v>
      </c>
      <c r="N219" s="857">
        <f t="shared" si="51"/>
        <v>1.3940008489251121</v>
      </c>
      <c r="O219" s="15"/>
      <c r="P219" s="445">
        <f t="shared" si="57"/>
        <v>-6.4650774623605189E-2</v>
      </c>
      <c r="Q219" s="445">
        <f t="shared" si="58"/>
        <v>6.689632460896637E-2</v>
      </c>
      <c r="R219" s="445">
        <f t="shared" si="46"/>
        <v>0</v>
      </c>
      <c r="S219" s="445">
        <f t="shared" si="46"/>
        <v>2.5201519230668712E-3</v>
      </c>
      <c r="T219" s="445">
        <f t="shared" si="46"/>
        <v>5.8366240152851509E-2</v>
      </c>
      <c r="U219" s="445">
        <f t="shared" si="46"/>
        <v>-7.6384245997597744E-3</v>
      </c>
      <c r="V219" s="445">
        <f t="shared" si="46"/>
        <v>-2.8736615776243495E-4</v>
      </c>
      <c r="W219" s="445">
        <f t="shared" si="46"/>
        <v>-2.376014321757175E-2</v>
      </c>
      <c r="X219" s="445">
        <f t="shared" si="46"/>
        <v>1.8747569242070956E-3</v>
      </c>
      <c r="Y219" s="43"/>
      <c r="Z219" s="388">
        <f t="shared" si="53"/>
        <v>1.4273216139355047</v>
      </c>
      <c r="AA219" s="43"/>
      <c r="AB219" s="462">
        <f>IF('TAR_Tab 2_Volumina'!C222="storage",1,0)</f>
        <v>0</v>
      </c>
      <c r="AC219" s="389">
        <f t="shared" si="52"/>
        <v>1.4273216139355047</v>
      </c>
      <c r="AD219" s="389">
        <f t="shared" si="54"/>
        <v>1.5233676938733227</v>
      </c>
      <c r="AE219" s="43"/>
      <c r="AF219" s="1027">
        <f t="shared" si="55"/>
        <v>1.5233676938733227</v>
      </c>
      <c r="AG219" s="392">
        <f t="shared" si="56"/>
        <v>1.5229999999999999</v>
      </c>
      <c r="AH219" s="392">
        <f>AG219+'TAR_Tab 14_Overige tarieven'!$AA$14+'TAR_Tab 14_Overige tarieven'!$AA$15</f>
        <v>1.7029999999999998</v>
      </c>
      <c r="AI219" s="43"/>
    </row>
    <row r="220" spans="1:35">
      <c r="A220" s="96">
        <v>300611</v>
      </c>
      <c r="B220" s="1286" t="s">
        <v>379</v>
      </c>
      <c r="C220" s="1022"/>
      <c r="D220" s="1358"/>
      <c r="E220" s="1022"/>
      <c r="F220" s="1032">
        <v>1.133482688273779</v>
      </c>
      <c r="G220" s="390">
        <f t="shared" si="47"/>
        <v>1.078622126161328</v>
      </c>
      <c r="H220" s="390">
        <f t="shared" si="48"/>
        <v>1.1038306098242299</v>
      </c>
      <c r="I220" s="387"/>
      <c r="J220" s="388">
        <f t="shared" si="49"/>
        <v>1.0486390793330183</v>
      </c>
      <c r="K220" s="388">
        <f t="shared" si="50"/>
        <v>1.1590221403154415</v>
      </c>
      <c r="L220" s="1316">
        <v>1.1258711328629547</v>
      </c>
      <c r="M220" s="61" t="b">
        <f t="shared" si="45"/>
        <v>1</v>
      </c>
      <c r="N220" s="857">
        <f t="shared" si="51"/>
        <v>1.1258711328629547</v>
      </c>
      <c r="O220" s="15"/>
      <c r="P220" s="445">
        <f t="shared" si="57"/>
        <v>-5.2215492495626341E-2</v>
      </c>
      <c r="Q220" s="445">
        <f t="shared" si="58"/>
        <v>5.4029121165844456E-2</v>
      </c>
      <c r="R220" s="445">
        <f t="shared" si="46"/>
        <v>0</v>
      </c>
      <c r="S220" s="445">
        <f t="shared" si="46"/>
        <v>2.0354121755362577E-3</v>
      </c>
      <c r="T220" s="445">
        <f t="shared" si="46"/>
        <v>4.7139759615291599E-2</v>
      </c>
      <c r="U220" s="445">
        <f t="shared" si="46"/>
        <v>-6.1692084076211328E-3</v>
      </c>
      <c r="V220" s="445">
        <f t="shared" si="46"/>
        <v>-2.3209258576559742E-4</v>
      </c>
      <c r="W220" s="445">
        <f t="shared" si="46"/>
        <v>-1.9189987855445456E-2</v>
      </c>
      <c r="X220" s="445">
        <f t="shared" si="46"/>
        <v>1.514155966065056E-3</v>
      </c>
      <c r="Y220" s="43"/>
      <c r="Z220" s="388">
        <f t="shared" si="53"/>
        <v>1.1527828004412335</v>
      </c>
      <c r="AA220" s="43"/>
      <c r="AB220" s="462">
        <f>IF('TAR_Tab 2_Volumina'!C223="storage",1,0)</f>
        <v>0</v>
      </c>
      <c r="AC220" s="389">
        <f t="shared" si="52"/>
        <v>1.1527828004412335</v>
      </c>
      <c r="AD220" s="389">
        <f t="shared" si="54"/>
        <v>1.2303548542244276</v>
      </c>
      <c r="AE220" s="43"/>
      <c r="AF220" s="1027">
        <f t="shared" si="55"/>
        <v>1.2303548542244276</v>
      </c>
      <c r="AG220" s="392">
        <f t="shared" si="56"/>
        <v>1.23</v>
      </c>
      <c r="AH220" s="392">
        <f>AG220+'TAR_Tab 14_Overige tarieven'!$AA$14+'TAR_Tab 14_Overige tarieven'!$AA$15</f>
        <v>1.41</v>
      </c>
      <c r="AI220" s="43"/>
    </row>
    <row r="221" spans="1:35">
      <c r="A221" s="96">
        <v>300617</v>
      </c>
      <c r="B221" s="1286" t="s">
        <v>796</v>
      </c>
      <c r="C221" s="1022"/>
      <c r="D221" s="1358"/>
      <c r="E221" s="1022"/>
      <c r="F221" s="1032">
        <v>1.9439016938183369</v>
      </c>
      <c r="G221" s="390">
        <f t="shared" si="47"/>
        <v>1.8498168518375293</v>
      </c>
      <c r="H221" s="390">
        <f t="shared" si="48"/>
        <v>1.8930489316900543</v>
      </c>
      <c r="I221" s="387"/>
      <c r="J221" s="388">
        <f t="shared" si="49"/>
        <v>1.7983964851055514</v>
      </c>
      <c r="K221" s="388">
        <f t="shared" si="50"/>
        <v>1.9877013782745572</v>
      </c>
      <c r="L221" s="1316">
        <v>1.9076846970322265</v>
      </c>
      <c r="M221" s="61" t="b">
        <f t="shared" si="45"/>
        <v>1</v>
      </c>
      <c r="N221" s="857">
        <f t="shared" si="51"/>
        <v>1.9076846970322265</v>
      </c>
      <c r="O221" s="15"/>
      <c r="P221" s="445">
        <f t="shared" si="57"/>
        <v>-8.8474331630307837E-2</v>
      </c>
      <c r="Q221" s="445">
        <f t="shared" si="58"/>
        <v>9.1547357982334529E-2</v>
      </c>
      <c r="R221" s="445">
        <f t="shared" si="46"/>
        <v>0</v>
      </c>
      <c r="S221" s="445">
        <f t="shared" si="46"/>
        <v>3.4488180272903711E-3</v>
      </c>
      <c r="T221" s="445">
        <f t="shared" si="46"/>
        <v>7.9873970843531608E-2</v>
      </c>
      <c r="U221" s="445">
        <f t="shared" si="46"/>
        <v>-1.045315412084017E-2</v>
      </c>
      <c r="V221" s="445">
        <f t="shared" si="46"/>
        <v>-3.9325946037339617E-4</v>
      </c>
      <c r="W221" s="445">
        <f t="shared" si="46"/>
        <v>-3.2515662849421055E-2</v>
      </c>
      <c r="X221" s="445">
        <f t="shared" si="46"/>
        <v>2.5655975014095664E-3</v>
      </c>
      <c r="Y221" s="43"/>
      <c r="Z221" s="388">
        <f t="shared" si="53"/>
        <v>1.9532840333258501</v>
      </c>
      <c r="AA221" s="43"/>
      <c r="AB221" s="462">
        <f>IF('TAR_Tab 2_Volumina'!C224="storage",1,0)</f>
        <v>0</v>
      </c>
      <c r="AC221" s="389">
        <f t="shared" si="52"/>
        <v>1.9532840333258501</v>
      </c>
      <c r="AD221" s="389">
        <f t="shared" si="54"/>
        <v>2.0847227172036908</v>
      </c>
      <c r="AE221" s="43"/>
      <c r="AF221" s="1027">
        <f t="shared" si="55"/>
        <v>2.0847227172036908</v>
      </c>
      <c r="AG221" s="392">
        <f t="shared" si="56"/>
        <v>2.085</v>
      </c>
      <c r="AH221" s="392">
        <f>AG221+'TAR_Tab 14_Overige tarieven'!$AA$14+'TAR_Tab 14_Overige tarieven'!$AA$15</f>
        <v>2.2650000000000001</v>
      </c>
      <c r="AI221" s="43"/>
    </row>
    <row r="222" spans="1:35">
      <c r="A222" s="96">
        <v>300620</v>
      </c>
      <c r="B222" s="1286" t="s">
        <v>1200</v>
      </c>
      <c r="C222" s="1022"/>
      <c r="D222" s="1358"/>
      <c r="E222" s="1022"/>
      <c r="F222" s="1032">
        <v>1.5050236027329049</v>
      </c>
      <c r="G222" s="390">
        <f t="shared" si="47"/>
        <v>1.4321804603606323</v>
      </c>
      <c r="H222" s="390">
        <f t="shared" si="48"/>
        <v>1.4656519578032208</v>
      </c>
      <c r="I222" s="387"/>
      <c r="J222" s="388">
        <f t="shared" si="49"/>
        <v>1.3923693599130598</v>
      </c>
      <c r="K222" s="388">
        <f t="shared" si="50"/>
        <v>1.5389345556933818</v>
      </c>
      <c r="L222" s="1316">
        <v>1.476983380762559</v>
      </c>
      <c r="M222" s="61" t="b">
        <f t="shared" si="45"/>
        <v>1</v>
      </c>
      <c r="N222" s="857">
        <f t="shared" si="51"/>
        <v>1.476983380762559</v>
      </c>
      <c r="O222" s="15"/>
      <c r="P222" s="445">
        <f t="shared" si="57"/>
        <v>-6.8499326773093241E-2</v>
      </c>
      <c r="Q222" s="445">
        <f t="shared" si="58"/>
        <v>7.08785505817498E-2</v>
      </c>
      <c r="R222" s="445">
        <f t="shared" si="46"/>
        <v>0</v>
      </c>
      <c r="S222" s="445">
        <f t="shared" si="46"/>
        <v>2.6701723390173742E-3</v>
      </c>
      <c r="T222" s="445">
        <f t="shared" si="46"/>
        <v>6.1840684508786235E-2</v>
      </c>
      <c r="U222" s="445">
        <f t="shared" si="46"/>
        <v>-8.0931272012870672E-3</v>
      </c>
      <c r="V222" s="445">
        <f t="shared" si="46"/>
        <v>-3.0447258302316097E-4</v>
      </c>
      <c r="W222" s="445">
        <f t="shared" si="46"/>
        <v>-2.5174544681196946E-2</v>
      </c>
      <c r="X222" s="445">
        <f t="shared" si="46"/>
        <v>1.9863580586471845E-3</v>
      </c>
      <c r="Y222" s="43"/>
      <c r="Z222" s="388">
        <f t="shared" si="53"/>
        <v>1.5122876750121592</v>
      </c>
      <c r="AA222" s="43"/>
      <c r="AB222" s="462">
        <f>IF('TAR_Tab 2_Volumina'!C225="storage",1,0)</f>
        <v>0</v>
      </c>
      <c r="AC222" s="389">
        <f t="shared" si="52"/>
        <v>1.5122876750121592</v>
      </c>
      <c r="AD222" s="389">
        <f t="shared" si="54"/>
        <v>1.6140512169532806</v>
      </c>
      <c r="AE222" s="43"/>
      <c r="AF222" s="1027">
        <f t="shared" si="55"/>
        <v>1.6140512169532806</v>
      </c>
      <c r="AG222" s="392">
        <f t="shared" si="56"/>
        <v>1.6140000000000001</v>
      </c>
      <c r="AH222" s="392">
        <f>AG222+'TAR_Tab 14_Overige tarieven'!$AA$14+'TAR_Tab 14_Overige tarieven'!$AA$15</f>
        <v>1.794</v>
      </c>
      <c r="AI222" s="43"/>
    </row>
    <row r="223" spans="1:35">
      <c r="A223" s="96">
        <v>300622</v>
      </c>
      <c r="B223" s="1286" t="s">
        <v>157</v>
      </c>
      <c r="C223" s="1022"/>
      <c r="D223" s="1358"/>
      <c r="E223" s="1022"/>
      <c r="F223" s="1032">
        <v>1.8809153399571279</v>
      </c>
      <c r="G223" s="390">
        <f t="shared" si="47"/>
        <v>1.789879037503203</v>
      </c>
      <c r="H223" s="390">
        <f t="shared" si="48"/>
        <v>1.8317103103661532</v>
      </c>
      <c r="I223" s="387"/>
      <c r="J223" s="388">
        <f t="shared" si="49"/>
        <v>1.7401247948478453</v>
      </c>
      <c r="K223" s="388">
        <f t="shared" si="50"/>
        <v>1.923295825884461</v>
      </c>
      <c r="L223" s="1316">
        <v>1.8458718472543849</v>
      </c>
      <c r="M223" s="61" t="b">
        <f t="shared" ref="M223:M260" si="59">IF(L223&gt;0,AND(L223&gt;=J223,L223&lt;=K223),"")</f>
        <v>1</v>
      </c>
      <c r="N223" s="857">
        <f t="shared" si="51"/>
        <v>1.8458718472543849</v>
      </c>
      <c r="O223" s="15"/>
      <c r="P223" s="445">
        <f t="shared" si="57"/>
        <v>-8.5607584007513032E-2</v>
      </c>
      <c r="Q223" s="445">
        <f t="shared" si="58"/>
        <v>8.8581038078776209E-2</v>
      </c>
      <c r="R223" s="445">
        <f t="shared" si="46"/>
        <v>0</v>
      </c>
      <c r="S223" s="445">
        <f t="shared" si="46"/>
        <v>3.3370693347712895E-3</v>
      </c>
      <c r="T223" s="445">
        <f t="shared" si="46"/>
        <v>7.728589233737608E-2</v>
      </c>
      <c r="U223" s="445">
        <f t="shared" si="46"/>
        <v>-1.0114450745811103E-2</v>
      </c>
      <c r="V223" s="445">
        <f t="shared" si="46"/>
        <v>-3.8051705698483181E-4</v>
      </c>
      <c r="W223" s="445">
        <f t="shared" si="46"/>
        <v>-3.1462089485717409E-2</v>
      </c>
      <c r="X223" s="445">
        <f t="shared" si="46"/>
        <v>2.482466943623079E-3</v>
      </c>
      <c r="Y223" s="43"/>
      <c r="Z223" s="388">
        <f t="shared" si="53"/>
        <v>1.8899936726529052</v>
      </c>
      <c r="AA223" s="43"/>
      <c r="AB223" s="462">
        <f>IF('TAR_Tab 2_Volumina'!C226="storage",1,0)</f>
        <v>0</v>
      </c>
      <c r="AC223" s="389">
        <f t="shared" si="52"/>
        <v>1.8899936726529052</v>
      </c>
      <c r="AD223" s="389">
        <f t="shared" si="54"/>
        <v>2.0171734768352816</v>
      </c>
      <c r="AE223" s="43"/>
      <c r="AF223" s="1027">
        <f t="shared" si="55"/>
        <v>2.0171734768352816</v>
      </c>
      <c r="AG223" s="392">
        <f t="shared" si="56"/>
        <v>2.0169999999999999</v>
      </c>
      <c r="AH223" s="392">
        <f>AG223+'TAR_Tab 14_Overige tarieven'!$AA$14+'TAR_Tab 14_Overige tarieven'!$AA$15</f>
        <v>2.1970000000000001</v>
      </c>
      <c r="AI223" s="43"/>
    </row>
    <row r="224" spans="1:35">
      <c r="A224" s="96">
        <v>300634</v>
      </c>
      <c r="B224" s="1286" t="s">
        <v>158</v>
      </c>
      <c r="C224" s="1022"/>
      <c r="D224" s="1358"/>
      <c r="E224" s="1022"/>
      <c r="F224" s="1032">
        <v>1.9198343395139192</v>
      </c>
      <c r="G224" s="390">
        <f t="shared" si="47"/>
        <v>1.8269143574814455</v>
      </c>
      <c r="H224" s="390">
        <f t="shared" si="48"/>
        <v>1.8696111830119868</v>
      </c>
      <c r="I224" s="387"/>
      <c r="J224" s="388">
        <f t="shared" si="49"/>
        <v>1.7761306238613874</v>
      </c>
      <c r="K224" s="388">
        <f t="shared" si="50"/>
        <v>1.9630917421625862</v>
      </c>
      <c r="L224" s="1316">
        <v>1.8840657436403989</v>
      </c>
      <c r="M224" s="61" t="b">
        <f t="shared" si="59"/>
        <v>1</v>
      </c>
      <c r="N224" s="857">
        <f t="shared" si="51"/>
        <v>1.8840657436403989</v>
      </c>
      <c r="O224" s="15"/>
      <c r="P224" s="445">
        <f t="shared" si="57"/>
        <v>-8.7378935143456404E-2</v>
      </c>
      <c r="Q224" s="445">
        <f t="shared" si="58"/>
        <v>9.0413914502553247E-2</v>
      </c>
      <c r="R224" s="445">
        <f t="shared" si="46"/>
        <v>0</v>
      </c>
      <c r="S224" s="445">
        <f t="shared" si="46"/>
        <v>3.4061183755239189E-3</v>
      </c>
      <c r="T224" s="445">
        <f t="shared" si="46"/>
        <v>7.8885055014040251E-2</v>
      </c>
      <c r="U224" s="445">
        <f t="shared" si="46"/>
        <v>-1.0323734117439292E-2</v>
      </c>
      <c r="V224" s="445">
        <f t="shared" si="46"/>
        <v>-3.8839053372115409E-4</v>
      </c>
      <c r="W224" s="445">
        <f t="shared" si="46"/>
        <v>-3.2113087976047269E-2</v>
      </c>
      <c r="X224" s="445">
        <f t="shared" si="46"/>
        <v>2.5338329609159243E-3</v>
      </c>
      <c r="Y224" s="43"/>
      <c r="Z224" s="388">
        <f t="shared" si="53"/>
        <v>1.9291005167227682</v>
      </c>
      <c r="AA224" s="43"/>
      <c r="AB224" s="462">
        <f>IF('TAR_Tab 2_Volumina'!C227="storage",1,0)</f>
        <v>0</v>
      </c>
      <c r="AC224" s="389">
        <f t="shared" si="52"/>
        <v>1.9291005167227682</v>
      </c>
      <c r="AD224" s="389">
        <f t="shared" si="54"/>
        <v>2.0589118645145024</v>
      </c>
      <c r="AE224" s="43"/>
      <c r="AF224" s="1027">
        <f t="shared" si="55"/>
        <v>2.0589118645145024</v>
      </c>
      <c r="AG224" s="392">
        <f t="shared" si="56"/>
        <v>2.0590000000000002</v>
      </c>
      <c r="AH224" s="392">
        <f>AG224+'TAR_Tab 14_Overige tarieven'!$AA$14+'TAR_Tab 14_Overige tarieven'!$AA$15</f>
        <v>2.2390000000000003</v>
      </c>
      <c r="AI224" s="43"/>
    </row>
    <row r="225" spans="1:35">
      <c r="A225" s="96">
        <v>300637</v>
      </c>
      <c r="B225" s="1286" t="s">
        <v>159</v>
      </c>
      <c r="C225" s="1022"/>
      <c r="D225" s="1358"/>
      <c r="E225" s="1022"/>
      <c r="F225" s="1032">
        <v>1.9078353748919574</v>
      </c>
      <c r="G225" s="390">
        <f t="shared" si="47"/>
        <v>1.8154961427471867</v>
      </c>
      <c r="H225" s="390">
        <f t="shared" si="48"/>
        <v>1.8579261131181624</v>
      </c>
      <c r="I225" s="387"/>
      <c r="J225" s="388">
        <f t="shared" si="49"/>
        <v>1.7650298074622541</v>
      </c>
      <c r="K225" s="388">
        <f t="shared" si="50"/>
        <v>1.9508224187740706</v>
      </c>
      <c r="L225" s="1316">
        <v>1.8722903327426468</v>
      </c>
      <c r="M225" s="61" t="b">
        <f t="shared" si="59"/>
        <v>1</v>
      </c>
      <c r="N225" s="857">
        <f t="shared" si="51"/>
        <v>1.8722903327426468</v>
      </c>
      <c r="O225" s="15"/>
      <c r="P225" s="445">
        <f t="shared" si="57"/>
        <v>-8.6832816798809817E-2</v>
      </c>
      <c r="Q225" s="445">
        <f t="shared" si="58"/>
        <v>8.9848827536912312E-2</v>
      </c>
      <c r="R225" s="445">
        <f t="shared" si="46"/>
        <v>0</v>
      </c>
      <c r="S225" s="445">
        <f t="shared" si="46"/>
        <v>3.3848301356768948E-3</v>
      </c>
      <c r="T225" s="445">
        <f t="shared" si="46"/>
        <v>7.8392023420202517E-2</v>
      </c>
      <c r="U225" s="445">
        <f t="shared" si="46"/>
        <v>-1.0259210779205299E-2</v>
      </c>
      <c r="V225" s="445">
        <f t="shared" si="46"/>
        <v>-3.8596309288539693E-4</v>
      </c>
      <c r="W225" s="445">
        <f t="shared" si="46"/>
        <v>-3.1912381176196977E-2</v>
      </c>
      <c r="X225" s="445">
        <f t="shared" si="46"/>
        <v>2.5179965049102002E-3</v>
      </c>
      <c r="Y225" s="43"/>
      <c r="Z225" s="388">
        <f t="shared" si="53"/>
        <v>1.9170436384932512</v>
      </c>
      <c r="AA225" s="43"/>
      <c r="AB225" s="462">
        <f>IF('TAR_Tab 2_Volumina'!C228="storage",1,0)</f>
        <v>0</v>
      </c>
      <c r="AC225" s="389">
        <f t="shared" si="52"/>
        <v>1.9170436384932512</v>
      </c>
      <c r="AD225" s="389">
        <f t="shared" si="54"/>
        <v>2.046043665361287</v>
      </c>
      <c r="AE225" s="43"/>
      <c r="AF225" s="1027">
        <f t="shared" si="55"/>
        <v>2.046043665361287</v>
      </c>
      <c r="AG225" s="392">
        <f t="shared" si="56"/>
        <v>2.0459999999999998</v>
      </c>
      <c r="AH225" s="392">
        <f>AG225+'TAR_Tab 14_Overige tarieven'!$AA$14+'TAR_Tab 14_Overige tarieven'!$AA$15</f>
        <v>2.226</v>
      </c>
      <c r="AI225" s="43"/>
    </row>
    <row r="226" spans="1:35">
      <c r="A226" s="96">
        <v>300638</v>
      </c>
      <c r="B226" s="1286" t="s">
        <v>380</v>
      </c>
      <c r="C226" s="1022"/>
      <c r="D226" s="1358"/>
      <c r="E226" s="1022"/>
      <c r="F226" s="1032">
        <v>1.3212456825171512</v>
      </c>
      <c r="G226" s="390">
        <f t="shared" si="47"/>
        <v>1.2572973914833212</v>
      </c>
      <c r="H226" s="390">
        <f t="shared" si="48"/>
        <v>1.2866816957580844</v>
      </c>
      <c r="I226" s="387"/>
      <c r="J226" s="388">
        <f t="shared" si="49"/>
        <v>1.2223476109701801</v>
      </c>
      <c r="K226" s="388">
        <f t="shared" si="50"/>
        <v>1.3510157805459888</v>
      </c>
      <c r="L226" s="1316">
        <v>1.2966294425140921</v>
      </c>
      <c r="M226" s="61" t="b">
        <f t="shared" si="59"/>
        <v>1</v>
      </c>
      <c r="N226" s="857">
        <f t="shared" si="51"/>
        <v>1.2966294425140921</v>
      </c>
      <c r="O226" s="15"/>
      <c r="P226" s="445">
        <f t="shared" si="57"/>
        <v>-6.0134897279974883E-2</v>
      </c>
      <c r="Q226" s="445">
        <f t="shared" si="58"/>
        <v>6.2223594878618033E-2</v>
      </c>
      <c r="R226" s="445">
        <f t="shared" si="46"/>
        <v>0</v>
      </c>
      <c r="S226" s="445">
        <f t="shared" si="46"/>
        <v>2.3441185029239252E-3</v>
      </c>
      <c r="T226" s="445">
        <f t="shared" si="46"/>
        <v>5.428933955771291E-2</v>
      </c>
      <c r="U226" s="445">
        <f t="shared" si="46"/>
        <v>-7.1048781915085566E-3</v>
      </c>
      <c r="V226" s="445">
        <f t="shared" si="46"/>
        <v>-2.672935394725428E-4</v>
      </c>
      <c r="W226" s="445">
        <f t="shared" si="46"/>
        <v>-2.2100489592965882E-2</v>
      </c>
      <c r="X226" s="445">
        <f t="shared" si="46"/>
        <v>1.7438045517393155E-3</v>
      </c>
      <c r="Y226" s="43"/>
      <c r="Z226" s="388">
        <f t="shared" si="53"/>
        <v>1.3276227414011643</v>
      </c>
      <c r="AA226" s="43"/>
      <c r="AB226" s="462">
        <f>IF('TAR_Tab 2_Volumina'!C229="storage",1,0)</f>
        <v>0</v>
      </c>
      <c r="AC226" s="389">
        <f t="shared" si="52"/>
        <v>1.3276227414011643</v>
      </c>
      <c r="AD226" s="389">
        <f t="shared" si="54"/>
        <v>1.4169599718493842</v>
      </c>
      <c r="AE226" s="43"/>
      <c r="AF226" s="1027">
        <f t="shared" si="55"/>
        <v>1.4169599718493842</v>
      </c>
      <c r="AG226" s="392">
        <f t="shared" si="56"/>
        <v>1.417</v>
      </c>
      <c r="AH226" s="392">
        <f>AG226+'TAR_Tab 14_Overige tarieven'!$AA$14+'TAR_Tab 14_Overige tarieven'!$AA$15</f>
        <v>1.597</v>
      </c>
      <c r="AI226" s="43"/>
    </row>
    <row r="227" spans="1:35">
      <c r="A227" s="96">
        <v>300639</v>
      </c>
      <c r="B227" s="1286" t="s">
        <v>160</v>
      </c>
      <c r="C227" s="1022"/>
      <c r="D227" s="1358"/>
      <c r="E227" s="1022"/>
      <c r="F227" s="1032">
        <v>1.9918281272456917</v>
      </c>
      <c r="G227" s="390">
        <f t="shared" si="47"/>
        <v>1.8954236458870002</v>
      </c>
      <c r="H227" s="390">
        <f t="shared" si="48"/>
        <v>1.9397216023749368</v>
      </c>
      <c r="I227" s="387"/>
      <c r="J227" s="388">
        <f t="shared" si="49"/>
        <v>1.8427355222561899</v>
      </c>
      <c r="K227" s="388">
        <f t="shared" si="50"/>
        <v>2.0367076824936836</v>
      </c>
      <c r="L227" s="1316">
        <v>1.9547182090269144</v>
      </c>
      <c r="M227" s="61" t="b">
        <f t="shared" si="59"/>
        <v>1</v>
      </c>
      <c r="N227" s="857">
        <f t="shared" si="51"/>
        <v>1.9547182090269144</v>
      </c>
      <c r="O227" s="15"/>
      <c r="P227" s="445">
        <f t="shared" si="57"/>
        <v>-9.0655645211336039E-2</v>
      </c>
      <c r="Q227" s="445">
        <f t="shared" si="58"/>
        <v>9.3804436296399021E-2</v>
      </c>
      <c r="R227" s="445">
        <f t="shared" si="46"/>
        <v>0</v>
      </c>
      <c r="S227" s="445">
        <f t="shared" si="46"/>
        <v>3.5338478146060667E-3</v>
      </c>
      <c r="T227" s="445">
        <f t="shared" si="46"/>
        <v>8.1843244577066793E-2</v>
      </c>
      <c r="U227" s="445">
        <f t="shared" si="46"/>
        <v>-1.0710874146843269E-2</v>
      </c>
      <c r="V227" s="445">
        <f t="shared" si="46"/>
        <v>-4.029551787356975E-4</v>
      </c>
      <c r="W227" s="445">
        <f t="shared" si="46"/>
        <v>-3.3317328775149049E-2</v>
      </c>
      <c r="X227" s="445">
        <f t="shared" si="46"/>
        <v>2.628851696950272E-3</v>
      </c>
      <c r="Y227" s="43"/>
      <c r="Z227" s="388">
        <f t="shared" si="53"/>
        <v>2.0014417860998726</v>
      </c>
      <c r="AA227" s="43"/>
      <c r="AB227" s="462">
        <f>IF('TAR_Tab 2_Volumina'!C230="storage",1,0)</f>
        <v>0</v>
      </c>
      <c r="AC227" s="389">
        <f t="shared" si="52"/>
        <v>2.0014417860998726</v>
      </c>
      <c r="AD227" s="389">
        <f t="shared" si="54"/>
        <v>2.1361210594337967</v>
      </c>
      <c r="AE227" s="43"/>
      <c r="AF227" s="1027">
        <f t="shared" si="55"/>
        <v>2.1361210594337967</v>
      </c>
      <c r="AG227" s="392">
        <f t="shared" si="56"/>
        <v>2.1360000000000001</v>
      </c>
      <c r="AH227" s="392">
        <f>AG227+'TAR_Tab 14_Overige tarieven'!$AA$14+'TAR_Tab 14_Overige tarieven'!$AA$15</f>
        <v>2.3160000000000003</v>
      </c>
      <c r="AI227" s="43"/>
    </row>
    <row r="228" spans="1:35">
      <c r="A228" s="96">
        <v>300640</v>
      </c>
      <c r="B228" s="1286" t="s">
        <v>161</v>
      </c>
      <c r="C228" s="1022"/>
      <c r="D228" s="1358"/>
      <c r="E228" s="1022"/>
      <c r="F228" s="1032">
        <v>1.8809153399571279</v>
      </c>
      <c r="G228" s="390">
        <f t="shared" si="47"/>
        <v>1.789879037503203</v>
      </c>
      <c r="H228" s="390">
        <f t="shared" si="48"/>
        <v>1.8317103103661532</v>
      </c>
      <c r="I228" s="387"/>
      <c r="J228" s="388">
        <f t="shared" si="49"/>
        <v>1.7401247948478453</v>
      </c>
      <c r="K228" s="388">
        <f t="shared" si="50"/>
        <v>1.923295825884461</v>
      </c>
      <c r="L228" s="1316">
        <v>1.8458718472543849</v>
      </c>
      <c r="M228" s="61" t="b">
        <f t="shared" si="59"/>
        <v>1</v>
      </c>
      <c r="N228" s="857">
        <f t="shared" si="51"/>
        <v>1.8458718472543849</v>
      </c>
      <c r="O228" s="15"/>
      <c r="P228" s="445">
        <f t="shared" si="57"/>
        <v>-8.5607584007513032E-2</v>
      </c>
      <c r="Q228" s="445">
        <f t="shared" si="58"/>
        <v>8.8581038078776209E-2</v>
      </c>
      <c r="R228" s="445">
        <f t="shared" si="46"/>
        <v>0</v>
      </c>
      <c r="S228" s="445">
        <f t="shared" si="46"/>
        <v>3.3370693347712895E-3</v>
      </c>
      <c r="T228" s="445">
        <f t="shared" si="46"/>
        <v>7.728589233737608E-2</v>
      </c>
      <c r="U228" s="445">
        <f t="shared" si="46"/>
        <v>-1.0114450745811103E-2</v>
      </c>
      <c r="V228" s="445">
        <f t="shared" si="46"/>
        <v>-3.8051705698483181E-4</v>
      </c>
      <c r="W228" s="445">
        <f t="shared" si="46"/>
        <v>-3.1462089485717409E-2</v>
      </c>
      <c r="X228" s="445">
        <f t="shared" si="46"/>
        <v>2.482466943623079E-3</v>
      </c>
      <c r="Y228" s="43"/>
      <c r="Z228" s="388">
        <f t="shared" si="53"/>
        <v>1.8899936726529052</v>
      </c>
      <c r="AA228" s="43"/>
      <c r="AB228" s="462">
        <f>IF('TAR_Tab 2_Volumina'!C231="storage",1,0)</f>
        <v>0</v>
      </c>
      <c r="AC228" s="389">
        <f t="shared" si="52"/>
        <v>1.8899936726529052</v>
      </c>
      <c r="AD228" s="389">
        <f t="shared" si="54"/>
        <v>2.0171734768352816</v>
      </c>
      <c r="AE228" s="43"/>
      <c r="AF228" s="1027">
        <f t="shared" si="55"/>
        <v>2.0171734768352816</v>
      </c>
      <c r="AG228" s="392">
        <f t="shared" si="56"/>
        <v>2.0169999999999999</v>
      </c>
      <c r="AH228" s="392">
        <f>AG228+'TAR_Tab 14_Overige tarieven'!$AA$14+'TAR_Tab 14_Overige tarieven'!$AA$15</f>
        <v>2.1970000000000001</v>
      </c>
      <c r="AI228" s="43"/>
    </row>
    <row r="229" spans="1:35">
      <c r="A229" s="96">
        <v>300642</v>
      </c>
      <c r="B229" s="1286" t="s">
        <v>162</v>
      </c>
      <c r="C229" s="1022"/>
      <c r="D229" s="1358"/>
      <c r="E229" s="1022"/>
      <c r="F229" s="1032">
        <v>1.2018962896331939</v>
      </c>
      <c r="G229" s="390">
        <f t="shared" si="47"/>
        <v>1.1437245092149473</v>
      </c>
      <c r="H229" s="390">
        <f t="shared" si="48"/>
        <v>1.1704545010314633</v>
      </c>
      <c r="I229" s="387"/>
      <c r="J229" s="388">
        <f t="shared" si="49"/>
        <v>1.1119317759798901</v>
      </c>
      <c r="K229" s="388">
        <f t="shared" si="50"/>
        <v>1.2289772260830365</v>
      </c>
      <c r="L229" s="1316">
        <v>1.1795036582582088</v>
      </c>
      <c r="M229" s="61" t="b">
        <f t="shared" si="59"/>
        <v>1</v>
      </c>
      <c r="N229" s="857">
        <f t="shared" si="51"/>
        <v>1.1795036582582088</v>
      </c>
      <c r="O229" s="15"/>
      <c r="P229" s="445">
        <f t="shared" si="57"/>
        <v>-5.4702854188768052E-2</v>
      </c>
      <c r="Q229" s="445">
        <f t="shared" si="58"/>
        <v>5.6602877725035972E-2</v>
      </c>
      <c r="R229" s="445">
        <f t="shared" si="46"/>
        <v>0</v>
      </c>
      <c r="S229" s="445">
        <f t="shared" si="46"/>
        <v>2.1323720246769545E-3</v>
      </c>
      <c r="T229" s="445">
        <f t="shared" si="46"/>
        <v>4.9385331316081485E-2</v>
      </c>
      <c r="U229" s="445">
        <f t="shared" si="46"/>
        <v>-6.463087713105227E-3</v>
      </c>
      <c r="V229" s="445">
        <f t="shared" si="46"/>
        <v>-2.4314865704834767E-4</v>
      </c>
      <c r="W229" s="445">
        <f t="shared" si="46"/>
        <v>-2.0104131118337937E-2</v>
      </c>
      <c r="X229" s="445">
        <f t="shared" si="46"/>
        <v>1.586285009906741E-3</v>
      </c>
      <c r="Y229" s="43"/>
      <c r="Z229" s="388">
        <f t="shared" si="53"/>
        <v>1.2076973026566504</v>
      </c>
      <c r="AA229" s="43"/>
      <c r="AB229" s="462">
        <f>IF('TAR_Tab 2_Volumina'!C232="storage",1,0)</f>
        <v>0</v>
      </c>
      <c r="AC229" s="389">
        <f t="shared" si="52"/>
        <v>1.2076973026566504</v>
      </c>
      <c r="AD229" s="389">
        <f t="shared" si="54"/>
        <v>1.2889646151804339</v>
      </c>
      <c r="AE229" s="43"/>
      <c r="AF229" s="1027">
        <f t="shared" si="55"/>
        <v>1.2889646151804339</v>
      </c>
      <c r="AG229" s="392">
        <f t="shared" si="56"/>
        <v>1.2889999999999999</v>
      </c>
      <c r="AH229" s="392">
        <f>AG229+'TAR_Tab 14_Overige tarieven'!$AA$14+'TAR_Tab 14_Overige tarieven'!$AA$15</f>
        <v>1.4689999999999999</v>
      </c>
      <c r="AI229" s="43"/>
    </row>
    <row r="230" spans="1:35">
      <c r="A230" s="96">
        <v>300644</v>
      </c>
      <c r="B230" s="1286" t="s">
        <v>381</v>
      </c>
      <c r="C230" s="1022"/>
      <c r="D230" s="1358"/>
      <c r="E230" s="1022"/>
      <c r="F230" s="1032">
        <v>1.9054286394615159</v>
      </c>
      <c r="G230" s="390">
        <f t="shared" si="47"/>
        <v>1.8132058933115784</v>
      </c>
      <c r="H230" s="390">
        <f t="shared" si="48"/>
        <v>1.8555823382503556</v>
      </c>
      <c r="I230" s="387"/>
      <c r="J230" s="388">
        <f t="shared" si="49"/>
        <v>1.7628032213378377</v>
      </c>
      <c r="K230" s="388">
        <f t="shared" si="50"/>
        <v>1.9483614551628734</v>
      </c>
      <c r="L230" s="1316">
        <v>1.8699284374034639</v>
      </c>
      <c r="M230" s="61" t="b">
        <f t="shared" si="59"/>
        <v>1</v>
      </c>
      <c r="N230" s="857">
        <f t="shared" si="51"/>
        <v>1.8699284374034639</v>
      </c>
      <c r="O230" s="15"/>
      <c r="P230" s="445">
        <f t="shared" si="57"/>
        <v>-8.6723277150124678E-2</v>
      </c>
      <c r="Q230" s="445">
        <f t="shared" si="58"/>
        <v>8.9735483188934179E-2</v>
      </c>
      <c r="R230" s="445">
        <f t="shared" si="46"/>
        <v>0</v>
      </c>
      <c r="S230" s="445">
        <f t="shared" si="46"/>
        <v>3.3805601705002492E-3</v>
      </c>
      <c r="T230" s="445">
        <f t="shared" si="46"/>
        <v>7.829313183725338E-2</v>
      </c>
      <c r="U230" s="445">
        <f t="shared" si="46"/>
        <v>-1.024626877886521E-2</v>
      </c>
      <c r="V230" s="445">
        <f t="shared" ref="R230:X266" si="60">$N230*V$5</f>
        <v>-3.8547620022017274E-4</v>
      </c>
      <c r="W230" s="445">
        <f t="shared" si="60"/>
        <v>-3.1872123688859597E-2</v>
      </c>
      <c r="X230" s="445">
        <f t="shared" si="60"/>
        <v>2.5148200508608356E-3</v>
      </c>
      <c r="Y230" s="43"/>
      <c r="Z230" s="388">
        <f t="shared" si="53"/>
        <v>1.914625286832943</v>
      </c>
      <c r="AA230" s="43"/>
      <c r="AB230" s="462">
        <f>IF('TAR_Tab 2_Volumina'!C233="storage",1,0)</f>
        <v>0</v>
      </c>
      <c r="AC230" s="389">
        <f t="shared" si="52"/>
        <v>1.914625286832943</v>
      </c>
      <c r="AD230" s="389">
        <f t="shared" si="54"/>
        <v>2.0434625800923678</v>
      </c>
      <c r="AE230" s="43"/>
      <c r="AF230" s="1027">
        <f t="shared" si="55"/>
        <v>2.0434625800923678</v>
      </c>
      <c r="AG230" s="392">
        <f t="shared" si="56"/>
        <v>2.0430000000000001</v>
      </c>
      <c r="AH230" s="392">
        <f>AG230+'TAR_Tab 14_Overige tarieven'!$AA$14+'TAR_Tab 14_Overige tarieven'!$AA$15</f>
        <v>2.2230000000000003</v>
      </c>
      <c r="AI230" s="43"/>
    </row>
    <row r="231" spans="1:35">
      <c r="A231" s="96">
        <v>300645</v>
      </c>
      <c r="B231" s="1286" t="s">
        <v>163</v>
      </c>
      <c r="C231" s="1022"/>
      <c r="D231" s="1358"/>
      <c r="E231" s="1022"/>
      <c r="F231" s="1032">
        <v>1.950988835410383</v>
      </c>
      <c r="G231" s="390">
        <f t="shared" si="47"/>
        <v>1.8565609757765205</v>
      </c>
      <c r="H231" s="390">
        <f t="shared" si="48"/>
        <v>1.8999506725868411</v>
      </c>
      <c r="I231" s="387"/>
      <c r="J231" s="388">
        <f t="shared" si="49"/>
        <v>1.8049531389574991</v>
      </c>
      <c r="K231" s="388">
        <f t="shared" si="50"/>
        <v>1.9949482062161832</v>
      </c>
      <c r="L231" s="1316">
        <v>1.9146397974901568</v>
      </c>
      <c r="M231" s="61" t="b">
        <f t="shared" si="59"/>
        <v>1</v>
      </c>
      <c r="N231" s="857">
        <f t="shared" si="51"/>
        <v>1.9146397974901568</v>
      </c>
      <c r="O231" s="15"/>
      <c r="P231" s="445">
        <f t="shared" si="57"/>
        <v>-8.8796894297710011E-2</v>
      </c>
      <c r="Q231" s="445">
        <f t="shared" si="58"/>
        <v>9.1881124391645141E-2</v>
      </c>
      <c r="R231" s="445">
        <f t="shared" si="60"/>
        <v>0</v>
      </c>
      <c r="S231" s="445">
        <f t="shared" si="60"/>
        <v>3.4613918430148674E-3</v>
      </c>
      <c r="T231" s="445">
        <f t="shared" si="60"/>
        <v>8.0165178028898651E-2</v>
      </c>
      <c r="U231" s="445">
        <f t="shared" si="60"/>
        <v>-1.0491264578572402E-2</v>
      </c>
      <c r="V231" s="445">
        <f t="shared" si="60"/>
        <v>-3.9469321882267422E-4</v>
      </c>
      <c r="W231" s="445">
        <f t="shared" si="60"/>
        <v>-3.2634209536892902E-2</v>
      </c>
      <c r="X231" s="445">
        <f t="shared" si="60"/>
        <v>2.5749512423001225E-3</v>
      </c>
      <c r="Y231" s="43"/>
      <c r="Z231" s="388">
        <f t="shared" si="53"/>
        <v>1.9604053813640177</v>
      </c>
      <c r="AA231" s="43"/>
      <c r="AB231" s="462">
        <f>IF('TAR_Tab 2_Volumina'!C234="storage",1,0)</f>
        <v>0</v>
      </c>
      <c r="AC231" s="389">
        <f t="shared" si="52"/>
        <v>1.9604053813640177</v>
      </c>
      <c r="AD231" s="389">
        <f t="shared" si="54"/>
        <v>2.0923232687768296</v>
      </c>
      <c r="AE231" s="43"/>
      <c r="AF231" s="1027">
        <f t="shared" si="55"/>
        <v>2.0923232687768296</v>
      </c>
      <c r="AG231" s="392">
        <f t="shared" si="56"/>
        <v>2.0920000000000001</v>
      </c>
      <c r="AH231" s="392">
        <f>AG231+'TAR_Tab 14_Overige tarieven'!$AA$14+'TAR_Tab 14_Overige tarieven'!$AA$15</f>
        <v>2.2720000000000002</v>
      </c>
      <c r="AI231" s="43"/>
    </row>
    <row r="232" spans="1:35">
      <c r="A232" s="96">
        <v>300648</v>
      </c>
      <c r="B232" s="1286" t="s">
        <v>164</v>
      </c>
      <c r="C232" s="1022"/>
      <c r="D232" s="1358"/>
      <c r="E232" s="1022"/>
      <c r="F232" s="1032">
        <v>1.8809153399571279</v>
      </c>
      <c r="G232" s="390">
        <f t="shared" si="47"/>
        <v>1.789879037503203</v>
      </c>
      <c r="H232" s="390">
        <f t="shared" si="48"/>
        <v>1.8317103103661532</v>
      </c>
      <c r="I232" s="387"/>
      <c r="J232" s="388">
        <f t="shared" si="49"/>
        <v>1.7401247948478453</v>
      </c>
      <c r="K232" s="388">
        <f t="shared" si="50"/>
        <v>1.923295825884461</v>
      </c>
      <c r="L232" s="1316">
        <v>1.8458718472543849</v>
      </c>
      <c r="M232" s="61" t="b">
        <f t="shared" si="59"/>
        <v>1</v>
      </c>
      <c r="N232" s="857">
        <f t="shared" si="51"/>
        <v>1.8458718472543849</v>
      </c>
      <c r="O232" s="15"/>
      <c r="P232" s="445">
        <f t="shared" si="57"/>
        <v>-8.5607584007513032E-2</v>
      </c>
      <c r="Q232" s="445">
        <f t="shared" si="58"/>
        <v>8.8581038078776209E-2</v>
      </c>
      <c r="R232" s="445">
        <f t="shared" si="60"/>
        <v>0</v>
      </c>
      <c r="S232" s="445">
        <f t="shared" si="60"/>
        <v>3.3370693347712895E-3</v>
      </c>
      <c r="T232" s="445">
        <f t="shared" si="60"/>
        <v>7.728589233737608E-2</v>
      </c>
      <c r="U232" s="445">
        <f t="shared" si="60"/>
        <v>-1.0114450745811103E-2</v>
      </c>
      <c r="V232" s="445">
        <f t="shared" si="60"/>
        <v>-3.8051705698483181E-4</v>
      </c>
      <c r="W232" s="445">
        <f t="shared" si="60"/>
        <v>-3.1462089485717409E-2</v>
      </c>
      <c r="X232" s="445">
        <f t="shared" si="60"/>
        <v>2.482466943623079E-3</v>
      </c>
      <c r="Y232" s="43"/>
      <c r="Z232" s="388">
        <f t="shared" si="53"/>
        <v>1.8899936726529052</v>
      </c>
      <c r="AA232" s="43"/>
      <c r="AB232" s="462">
        <f>IF('TAR_Tab 2_Volumina'!C235="storage",1,0)</f>
        <v>0</v>
      </c>
      <c r="AC232" s="389">
        <f t="shared" si="52"/>
        <v>1.8899936726529052</v>
      </c>
      <c r="AD232" s="389">
        <f t="shared" si="54"/>
        <v>2.0171734768352816</v>
      </c>
      <c r="AE232" s="43"/>
      <c r="AF232" s="1027">
        <f t="shared" si="55"/>
        <v>2.0171734768352816</v>
      </c>
      <c r="AG232" s="392">
        <f t="shared" si="56"/>
        <v>2.0169999999999999</v>
      </c>
      <c r="AH232" s="392">
        <f>AG232+'TAR_Tab 14_Overige tarieven'!$AA$14+'TAR_Tab 14_Overige tarieven'!$AA$15</f>
        <v>2.1970000000000001</v>
      </c>
      <c r="AI232" s="43"/>
    </row>
    <row r="233" spans="1:35">
      <c r="A233" s="96">
        <v>300649</v>
      </c>
      <c r="B233" s="1286" t="s">
        <v>165</v>
      </c>
      <c r="C233" s="1022"/>
      <c r="D233" s="1358"/>
      <c r="E233" s="1022"/>
      <c r="F233" s="1032">
        <v>1.3212456825171512</v>
      </c>
      <c r="G233" s="390">
        <f t="shared" si="47"/>
        <v>1.2572973914833212</v>
      </c>
      <c r="H233" s="390">
        <f t="shared" si="48"/>
        <v>1.2866816957580844</v>
      </c>
      <c r="I233" s="387"/>
      <c r="J233" s="388">
        <f t="shared" si="49"/>
        <v>1.2223476109701801</v>
      </c>
      <c r="K233" s="388">
        <f t="shared" si="50"/>
        <v>1.3510157805459888</v>
      </c>
      <c r="L233" s="1316">
        <v>1.2966294425140921</v>
      </c>
      <c r="M233" s="61" t="b">
        <f t="shared" si="59"/>
        <v>1</v>
      </c>
      <c r="N233" s="857">
        <f t="shared" si="51"/>
        <v>1.2966294425140921</v>
      </c>
      <c r="O233" s="15"/>
      <c r="P233" s="445">
        <f t="shared" si="57"/>
        <v>-6.0134897279974883E-2</v>
      </c>
      <c r="Q233" s="445">
        <f t="shared" si="58"/>
        <v>6.2223594878618033E-2</v>
      </c>
      <c r="R233" s="445">
        <f t="shared" si="60"/>
        <v>0</v>
      </c>
      <c r="S233" s="445">
        <f t="shared" si="60"/>
        <v>2.3441185029239252E-3</v>
      </c>
      <c r="T233" s="445">
        <f t="shared" si="60"/>
        <v>5.428933955771291E-2</v>
      </c>
      <c r="U233" s="445">
        <f t="shared" si="60"/>
        <v>-7.1048781915085566E-3</v>
      </c>
      <c r="V233" s="445">
        <f t="shared" si="60"/>
        <v>-2.672935394725428E-4</v>
      </c>
      <c r="W233" s="445">
        <f t="shared" si="60"/>
        <v>-2.2100489592965882E-2</v>
      </c>
      <c r="X233" s="445">
        <f t="shared" si="60"/>
        <v>1.7438045517393155E-3</v>
      </c>
      <c r="Y233" s="43"/>
      <c r="Z233" s="388">
        <f t="shared" si="53"/>
        <v>1.3276227414011643</v>
      </c>
      <c r="AA233" s="43"/>
      <c r="AB233" s="462">
        <f>IF('TAR_Tab 2_Volumina'!C236="storage",1,0)</f>
        <v>0</v>
      </c>
      <c r="AC233" s="389">
        <f t="shared" si="52"/>
        <v>1.3276227414011643</v>
      </c>
      <c r="AD233" s="389">
        <f t="shared" si="54"/>
        <v>1.4169599718493842</v>
      </c>
      <c r="AE233" s="43"/>
      <c r="AF233" s="1027">
        <f t="shared" si="55"/>
        <v>1.4169599718493842</v>
      </c>
      <c r="AG233" s="392">
        <f t="shared" si="56"/>
        <v>1.417</v>
      </c>
      <c r="AH233" s="392">
        <f>AG233+'TAR_Tab 14_Overige tarieven'!$AA$14+'TAR_Tab 14_Overige tarieven'!$AA$15</f>
        <v>1.597</v>
      </c>
      <c r="AI233" s="43"/>
    </row>
    <row r="234" spans="1:35">
      <c r="A234" s="96">
        <v>300650</v>
      </c>
      <c r="B234" s="1286" t="s">
        <v>166</v>
      </c>
      <c r="C234" s="1022"/>
      <c r="D234" s="1358"/>
      <c r="E234" s="1022"/>
      <c r="F234" s="1032">
        <v>1.7078526311925906</v>
      </c>
      <c r="G234" s="390">
        <f t="shared" si="47"/>
        <v>1.6251925638428693</v>
      </c>
      <c r="H234" s="390">
        <f t="shared" si="48"/>
        <v>1.66317494822108</v>
      </c>
      <c r="I234" s="387"/>
      <c r="J234" s="388">
        <f t="shared" si="49"/>
        <v>1.580016200810026</v>
      </c>
      <c r="K234" s="388">
        <f t="shared" si="50"/>
        <v>1.746333695632134</v>
      </c>
      <c r="L234" s="1316">
        <v>1.6760334844467715</v>
      </c>
      <c r="M234" s="61" t="b">
        <f t="shared" si="59"/>
        <v>1</v>
      </c>
      <c r="N234" s="857">
        <f t="shared" si="51"/>
        <v>1.6760334844467715</v>
      </c>
      <c r="O234" s="15"/>
      <c r="P234" s="445">
        <f t="shared" si="57"/>
        <v>-7.7730844388033085E-2</v>
      </c>
      <c r="Q234" s="445">
        <f t="shared" si="58"/>
        <v>8.0430711442896319E-2</v>
      </c>
      <c r="R234" s="445">
        <f t="shared" si="60"/>
        <v>0</v>
      </c>
      <c r="S234" s="445">
        <f t="shared" si="60"/>
        <v>3.0300261382264857E-3</v>
      </c>
      <c r="T234" s="445">
        <f t="shared" si="60"/>
        <v>7.0174830189573309E-2</v>
      </c>
      <c r="U234" s="445">
        <f t="shared" si="60"/>
        <v>-9.1838218086387029E-3</v>
      </c>
      <c r="V234" s="445">
        <f t="shared" si="60"/>
        <v>-3.4550574562277665E-4</v>
      </c>
      <c r="W234" s="445">
        <f t="shared" si="60"/>
        <v>-2.8567267845358714E-2</v>
      </c>
      <c r="X234" s="445">
        <f t="shared" si="60"/>
        <v>2.2540555714814572E-3</v>
      </c>
      <c r="Y234" s="43"/>
      <c r="Z234" s="388">
        <f t="shared" si="53"/>
        <v>1.7160956680012958</v>
      </c>
      <c r="AA234" s="43"/>
      <c r="AB234" s="462">
        <f>IF('TAR_Tab 2_Volumina'!C237="storage",1,0)</f>
        <v>0</v>
      </c>
      <c r="AC234" s="389">
        <f t="shared" si="52"/>
        <v>1.7160956680012958</v>
      </c>
      <c r="AD234" s="389">
        <f t="shared" si="54"/>
        <v>1.8315736794743591</v>
      </c>
      <c r="AE234" s="43"/>
      <c r="AF234" s="1027">
        <f t="shared" si="55"/>
        <v>1.8315736794743591</v>
      </c>
      <c r="AG234" s="392">
        <f t="shared" si="56"/>
        <v>1.8320000000000001</v>
      </c>
      <c r="AH234" s="392">
        <f>AG234+'TAR_Tab 14_Overige tarieven'!$AA$14+'TAR_Tab 14_Overige tarieven'!$AA$15</f>
        <v>2.012</v>
      </c>
      <c r="AI234" s="43"/>
    </row>
    <row r="235" spans="1:35">
      <c r="A235" s="96">
        <v>300651</v>
      </c>
      <c r="B235" s="1286" t="s">
        <v>167</v>
      </c>
      <c r="C235" s="1022"/>
      <c r="D235" s="1358"/>
      <c r="E235" s="1022"/>
      <c r="F235" s="1032">
        <v>1.9198343395139192</v>
      </c>
      <c r="G235" s="390">
        <f t="shared" si="47"/>
        <v>1.8269143574814455</v>
      </c>
      <c r="H235" s="390">
        <f t="shared" si="48"/>
        <v>1.8696111830119868</v>
      </c>
      <c r="I235" s="387"/>
      <c r="J235" s="388">
        <f t="shared" si="49"/>
        <v>1.7761306238613874</v>
      </c>
      <c r="K235" s="388">
        <f t="shared" si="50"/>
        <v>1.9630917421625862</v>
      </c>
      <c r="L235" s="1316">
        <v>1.8840657436403989</v>
      </c>
      <c r="M235" s="61" t="b">
        <f t="shared" si="59"/>
        <v>1</v>
      </c>
      <c r="N235" s="857">
        <f t="shared" si="51"/>
        <v>1.8840657436403989</v>
      </c>
      <c r="O235" s="15"/>
      <c r="P235" s="445">
        <f t="shared" si="57"/>
        <v>-8.7378935143456404E-2</v>
      </c>
      <c r="Q235" s="445">
        <f t="shared" si="58"/>
        <v>9.0413914502553247E-2</v>
      </c>
      <c r="R235" s="445">
        <f t="shared" si="60"/>
        <v>0</v>
      </c>
      <c r="S235" s="445">
        <f t="shared" si="60"/>
        <v>3.4061183755239189E-3</v>
      </c>
      <c r="T235" s="445">
        <f t="shared" si="60"/>
        <v>7.8885055014040251E-2</v>
      </c>
      <c r="U235" s="445">
        <f t="shared" si="60"/>
        <v>-1.0323734117439292E-2</v>
      </c>
      <c r="V235" s="445">
        <f t="shared" si="60"/>
        <v>-3.8839053372115409E-4</v>
      </c>
      <c r="W235" s="445">
        <f t="shared" si="60"/>
        <v>-3.2113087976047269E-2</v>
      </c>
      <c r="X235" s="445">
        <f t="shared" si="60"/>
        <v>2.5338329609159243E-3</v>
      </c>
      <c r="Y235" s="43"/>
      <c r="Z235" s="388">
        <f t="shared" si="53"/>
        <v>1.9291005167227682</v>
      </c>
      <c r="AA235" s="43"/>
      <c r="AB235" s="462">
        <f>IF('TAR_Tab 2_Volumina'!C238="storage",1,0)</f>
        <v>0</v>
      </c>
      <c r="AC235" s="389">
        <f t="shared" si="52"/>
        <v>1.9291005167227682</v>
      </c>
      <c r="AD235" s="389">
        <f t="shared" si="54"/>
        <v>2.0589118645145024</v>
      </c>
      <c r="AE235" s="43"/>
      <c r="AF235" s="1027">
        <f t="shared" si="55"/>
        <v>2.0589118645145024</v>
      </c>
      <c r="AG235" s="392">
        <f t="shared" si="56"/>
        <v>2.0590000000000002</v>
      </c>
      <c r="AH235" s="392">
        <f>AG235+'TAR_Tab 14_Overige tarieven'!$AA$14+'TAR_Tab 14_Overige tarieven'!$AA$15</f>
        <v>2.2390000000000003</v>
      </c>
      <c r="AI235" s="43"/>
    </row>
    <row r="236" spans="1:35">
      <c r="A236" s="96">
        <v>300652</v>
      </c>
      <c r="B236" s="1286" t="s">
        <v>168</v>
      </c>
      <c r="C236" s="1022"/>
      <c r="D236" s="1358"/>
      <c r="E236" s="1022"/>
      <c r="F236" s="1032">
        <v>1.702853062600107</v>
      </c>
      <c r="G236" s="390">
        <f t="shared" si="47"/>
        <v>1.620434974370262</v>
      </c>
      <c r="H236" s="390">
        <f t="shared" si="48"/>
        <v>1.6583061690986536</v>
      </c>
      <c r="I236" s="387"/>
      <c r="J236" s="388">
        <f t="shared" si="49"/>
        <v>1.5753908606437208</v>
      </c>
      <c r="K236" s="388">
        <f t="shared" si="50"/>
        <v>1.7412214775535864</v>
      </c>
      <c r="L236" s="1316">
        <v>1.6711270632393753</v>
      </c>
      <c r="M236" s="61" t="b">
        <f t="shared" si="59"/>
        <v>1</v>
      </c>
      <c r="N236" s="857">
        <f t="shared" si="51"/>
        <v>1.6711270632393753</v>
      </c>
      <c r="O236" s="15"/>
      <c r="P236" s="445">
        <f t="shared" si="57"/>
        <v>-7.7503295077763712E-2</v>
      </c>
      <c r="Q236" s="445">
        <f t="shared" si="58"/>
        <v>8.0195258540545961E-2</v>
      </c>
      <c r="R236" s="445">
        <f t="shared" si="60"/>
        <v>0</v>
      </c>
      <c r="S236" s="445">
        <f t="shared" si="60"/>
        <v>3.021156038290227E-3</v>
      </c>
      <c r="T236" s="445">
        <f t="shared" si="60"/>
        <v>6.996940035880761E-2</v>
      </c>
      <c r="U236" s="445">
        <f t="shared" si="60"/>
        <v>-9.1569370843745425E-3</v>
      </c>
      <c r="V236" s="445">
        <f t="shared" si="60"/>
        <v>-3.4449431194121129E-4</v>
      </c>
      <c r="W236" s="445">
        <f t="shared" si="60"/>
        <v>-2.8483640012087769E-2</v>
      </c>
      <c r="X236" s="445">
        <f t="shared" si="60"/>
        <v>2.24745704814574E-3</v>
      </c>
      <c r="Y236" s="43"/>
      <c r="Z236" s="388">
        <f t="shared" si="53"/>
        <v>1.7110719687389977</v>
      </c>
      <c r="AA236" s="43"/>
      <c r="AB236" s="462">
        <f>IF('TAR_Tab 2_Volumina'!C239="storage",1,0)</f>
        <v>0</v>
      </c>
      <c r="AC236" s="389">
        <f t="shared" si="52"/>
        <v>1.7110719687389977</v>
      </c>
      <c r="AD236" s="389">
        <f t="shared" si="54"/>
        <v>1.8262119298271868</v>
      </c>
      <c r="AE236" s="43"/>
      <c r="AF236" s="1027">
        <f t="shared" si="55"/>
        <v>1.8262119298271868</v>
      </c>
      <c r="AG236" s="392">
        <f t="shared" si="56"/>
        <v>1.8260000000000001</v>
      </c>
      <c r="AH236" s="392">
        <f>AG236+'TAR_Tab 14_Overige tarieven'!$AA$14+'TAR_Tab 14_Overige tarieven'!$AA$15</f>
        <v>2.0060000000000002</v>
      </c>
      <c r="AI236" s="43"/>
    </row>
    <row r="237" spans="1:35">
      <c r="A237" s="96">
        <v>300655</v>
      </c>
      <c r="B237" s="1286" t="s">
        <v>290</v>
      </c>
      <c r="C237" s="1022"/>
      <c r="D237" s="1358"/>
      <c r="E237" s="1022"/>
      <c r="F237" s="1032">
        <v>1.2208946502846334</v>
      </c>
      <c r="G237" s="390">
        <f t="shared" si="47"/>
        <v>1.161803349210857</v>
      </c>
      <c r="H237" s="390">
        <f t="shared" si="48"/>
        <v>1.1889558616966858</v>
      </c>
      <c r="I237" s="387"/>
      <c r="J237" s="388">
        <f t="shared" si="49"/>
        <v>1.1295080686118515</v>
      </c>
      <c r="K237" s="388">
        <f t="shared" si="50"/>
        <v>1.24840365478152</v>
      </c>
      <c r="L237" s="1316">
        <v>1.1981480588463165</v>
      </c>
      <c r="M237" s="61" t="b">
        <f t="shared" si="59"/>
        <v>1</v>
      </c>
      <c r="N237" s="857">
        <f t="shared" si="51"/>
        <v>1.1981480588463165</v>
      </c>
      <c r="O237" s="15"/>
      <c r="P237" s="445">
        <f t="shared" si="57"/>
        <v>-5.5567541567791819E-2</v>
      </c>
      <c r="Q237" s="445">
        <f t="shared" si="58"/>
        <v>5.7497598753967469E-2</v>
      </c>
      <c r="R237" s="445">
        <f t="shared" si="60"/>
        <v>0</v>
      </c>
      <c r="S237" s="445">
        <f t="shared" si="60"/>
        <v>2.1660784044347427E-3</v>
      </c>
      <c r="T237" s="445">
        <f t="shared" si="60"/>
        <v>5.016596467299124E-2</v>
      </c>
      <c r="U237" s="445">
        <f t="shared" si="60"/>
        <v>-6.5652496653090513E-3</v>
      </c>
      <c r="V237" s="445">
        <f t="shared" si="60"/>
        <v>-2.469921050382965E-4</v>
      </c>
      <c r="W237" s="445">
        <f t="shared" si="60"/>
        <v>-2.0421916884767563E-2</v>
      </c>
      <c r="X237" s="445">
        <f t="shared" si="60"/>
        <v>1.611359398582471E-3</v>
      </c>
      <c r="Y237" s="43"/>
      <c r="Z237" s="388">
        <f t="shared" si="53"/>
        <v>1.2267873598533856</v>
      </c>
      <c r="AA237" s="43"/>
      <c r="AB237" s="462">
        <f>IF('TAR_Tab 2_Volumina'!C240="storage",1,0)</f>
        <v>0</v>
      </c>
      <c r="AC237" s="389">
        <f t="shared" si="52"/>
        <v>1.2267873598533856</v>
      </c>
      <c r="AD237" s="389">
        <f t="shared" si="54"/>
        <v>1.3093392638396915</v>
      </c>
      <c r="AE237" s="43"/>
      <c r="AF237" s="1027">
        <f t="shared" si="55"/>
        <v>1.3093392638396915</v>
      </c>
      <c r="AG237" s="392">
        <f t="shared" si="56"/>
        <v>1.3089999999999999</v>
      </c>
      <c r="AH237" s="392">
        <f>AG237+'TAR_Tab 14_Overige tarieven'!$AA$14+'TAR_Tab 14_Overige tarieven'!$AA$15</f>
        <v>1.4889999999999999</v>
      </c>
      <c r="AI237" s="43"/>
    </row>
    <row r="238" spans="1:35">
      <c r="A238" s="96">
        <v>300662</v>
      </c>
      <c r="B238" s="1286" t="s">
        <v>291</v>
      </c>
      <c r="C238" s="1022"/>
      <c r="D238" s="1358"/>
      <c r="E238" s="1022"/>
      <c r="F238" s="1032">
        <v>1.2018962896331939</v>
      </c>
      <c r="G238" s="390">
        <f t="shared" si="47"/>
        <v>1.1437245092149473</v>
      </c>
      <c r="H238" s="390">
        <f t="shared" si="48"/>
        <v>1.1704545010314633</v>
      </c>
      <c r="I238" s="387"/>
      <c r="J238" s="388">
        <f t="shared" si="49"/>
        <v>1.1119317759798901</v>
      </c>
      <c r="K238" s="388">
        <f t="shared" si="50"/>
        <v>1.2289772260830365</v>
      </c>
      <c r="L238" s="1316">
        <v>1.1795036582582088</v>
      </c>
      <c r="M238" s="61" t="b">
        <f t="shared" si="59"/>
        <v>1</v>
      </c>
      <c r="N238" s="857">
        <f t="shared" si="51"/>
        <v>1.1795036582582088</v>
      </c>
      <c r="O238" s="15"/>
      <c r="P238" s="445">
        <f t="shared" si="57"/>
        <v>-5.4702854188768052E-2</v>
      </c>
      <c r="Q238" s="445">
        <f t="shared" si="58"/>
        <v>5.6602877725035972E-2</v>
      </c>
      <c r="R238" s="445">
        <f t="shared" si="60"/>
        <v>0</v>
      </c>
      <c r="S238" s="445">
        <f t="shared" si="60"/>
        <v>2.1323720246769545E-3</v>
      </c>
      <c r="T238" s="445">
        <f t="shared" si="60"/>
        <v>4.9385331316081485E-2</v>
      </c>
      <c r="U238" s="445">
        <f t="shared" si="60"/>
        <v>-6.463087713105227E-3</v>
      </c>
      <c r="V238" s="445">
        <f t="shared" si="60"/>
        <v>-2.4314865704834767E-4</v>
      </c>
      <c r="W238" s="445">
        <f t="shared" si="60"/>
        <v>-2.0104131118337937E-2</v>
      </c>
      <c r="X238" s="445">
        <f t="shared" si="60"/>
        <v>1.586285009906741E-3</v>
      </c>
      <c r="Y238" s="43"/>
      <c r="Z238" s="388">
        <f t="shared" si="53"/>
        <v>1.2076973026566504</v>
      </c>
      <c r="AA238" s="43"/>
      <c r="AB238" s="462">
        <f>IF('TAR_Tab 2_Volumina'!C241="storage",1,0)</f>
        <v>0</v>
      </c>
      <c r="AC238" s="389">
        <f t="shared" si="52"/>
        <v>1.2076973026566504</v>
      </c>
      <c r="AD238" s="389">
        <f t="shared" si="54"/>
        <v>1.2889646151804339</v>
      </c>
      <c r="AE238" s="43"/>
      <c r="AF238" s="1027">
        <f t="shared" si="55"/>
        <v>1.2889646151804339</v>
      </c>
      <c r="AG238" s="392">
        <f t="shared" si="56"/>
        <v>1.2889999999999999</v>
      </c>
      <c r="AH238" s="392">
        <f>AG238+'TAR_Tab 14_Overige tarieven'!$AA$14+'TAR_Tab 14_Overige tarieven'!$AA$15</f>
        <v>1.4689999999999999</v>
      </c>
      <c r="AI238" s="43"/>
    </row>
    <row r="239" spans="1:35">
      <c r="A239" s="96">
        <v>300663</v>
      </c>
      <c r="B239" s="1286" t="s">
        <v>797</v>
      </c>
      <c r="C239" s="1022"/>
      <c r="D239" s="1358"/>
      <c r="E239" s="1022"/>
      <c r="F239" s="1032">
        <v>1.159886611128742</v>
      </c>
      <c r="G239" s="390">
        <f t="shared" si="47"/>
        <v>1.103748099150111</v>
      </c>
      <c r="H239" s="390">
        <f t="shared" si="48"/>
        <v>1.1295438020663915</v>
      </c>
      <c r="I239" s="387"/>
      <c r="J239" s="388">
        <f t="shared" si="49"/>
        <v>1.0730666119630718</v>
      </c>
      <c r="K239" s="388">
        <f t="shared" si="50"/>
        <v>1.1860209921697111</v>
      </c>
      <c r="L239" s="1316">
        <v>1.1520977482707442</v>
      </c>
      <c r="M239" s="61" t="b">
        <f t="shared" si="59"/>
        <v>1</v>
      </c>
      <c r="N239" s="857">
        <f t="shared" si="51"/>
        <v>1.1520977482707442</v>
      </c>
      <c r="O239" s="15"/>
      <c r="P239" s="445">
        <f t="shared" si="57"/>
        <v>-5.3431826763411322E-2</v>
      </c>
      <c r="Q239" s="445">
        <f t="shared" si="58"/>
        <v>5.5287703023285104E-2</v>
      </c>
      <c r="R239" s="445">
        <f t="shared" si="60"/>
        <v>0</v>
      </c>
      <c r="S239" s="445">
        <f t="shared" si="60"/>
        <v>2.0828261030861875E-3</v>
      </c>
      <c r="T239" s="445">
        <f t="shared" si="60"/>
        <v>4.8237857177045484E-2</v>
      </c>
      <c r="U239" s="445">
        <f t="shared" si="60"/>
        <v>-6.312917089329447E-3</v>
      </c>
      <c r="V239" s="445">
        <f t="shared" si="60"/>
        <v>-2.3749906862868957E-4</v>
      </c>
      <c r="W239" s="445">
        <f t="shared" si="60"/>
        <v>-1.9637009203159663E-2</v>
      </c>
      <c r="X239" s="445">
        <f t="shared" si="60"/>
        <v>1.5494274860732272E-3</v>
      </c>
      <c r="Y239" s="43"/>
      <c r="Z239" s="388">
        <f t="shared" si="53"/>
        <v>1.179636309935705</v>
      </c>
      <c r="AA239" s="43"/>
      <c r="AB239" s="462">
        <f>IF('TAR_Tab 2_Volumina'!C242="storage",1,0)</f>
        <v>0</v>
      </c>
      <c r="AC239" s="389">
        <f t="shared" si="52"/>
        <v>1.179636309935705</v>
      </c>
      <c r="AD239" s="389">
        <f t="shared" si="54"/>
        <v>1.2590153666356456</v>
      </c>
      <c r="AE239" s="43"/>
      <c r="AF239" s="1027">
        <f t="shared" si="55"/>
        <v>1.2590153666356456</v>
      </c>
      <c r="AG239" s="392">
        <f t="shared" si="56"/>
        <v>1.2589999999999999</v>
      </c>
      <c r="AH239" s="392">
        <f>AG239+'TAR_Tab 14_Overige tarieven'!$AA$14+'TAR_Tab 14_Overige tarieven'!$AA$15</f>
        <v>1.4389999999999998</v>
      </c>
      <c r="AI239" s="43"/>
    </row>
    <row r="240" spans="1:35">
      <c r="A240" s="96">
        <v>300664</v>
      </c>
      <c r="B240" s="1286" t="s">
        <v>169</v>
      </c>
      <c r="C240" s="1022"/>
      <c r="D240" s="1358"/>
      <c r="E240" s="1022"/>
      <c r="F240" s="1032">
        <v>1.8629057899092398</v>
      </c>
      <c r="G240" s="390">
        <f t="shared" si="47"/>
        <v>1.7727411496776326</v>
      </c>
      <c r="H240" s="390">
        <f t="shared" si="48"/>
        <v>1.8141718928696358</v>
      </c>
      <c r="I240" s="387"/>
      <c r="J240" s="388">
        <f t="shared" si="49"/>
        <v>1.723463298226154</v>
      </c>
      <c r="K240" s="388">
        <f t="shared" si="50"/>
        <v>1.9048804875131176</v>
      </c>
      <c r="L240" s="1316">
        <v>1.8281978346558843</v>
      </c>
      <c r="M240" s="61" t="b">
        <f t="shared" si="59"/>
        <v>1</v>
      </c>
      <c r="N240" s="857">
        <f t="shared" si="51"/>
        <v>1.8281978346558843</v>
      </c>
      <c r="O240" s="15"/>
      <c r="P240" s="445">
        <f t="shared" si="57"/>
        <v>-8.4787901145711705E-2</v>
      </c>
      <c r="Q240" s="445">
        <f t="shared" si="58"/>
        <v>8.7732884733070615E-2</v>
      </c>
      <c r="R240" s="445">
        <f t="shared" si="60"/>
        <v>0</v>
      </c>
      <c r="S240" s="445">
        <f t="shared" si="60"/>
        <v>3.3051172761532732E-3</v>
      </c>
      <c r="T240" s="445">
        <f t="shared" si="60"/>
        <v>7.6545888725051137E-2</v>
      </c>
      <c r="U240" s="445">
        <f t="shared" si="60"/>
        <v>-1.0017606032471833E-2</v>
      </c>
      <c r="V240" s="445">
        <f t="shared" si="60"/>
        <v>-3.7687364952450472E-4</v>
      </c>
      <c r="W240" s="445">
        <f t="shared" si="60"/>
        <v>-3.1160843564028519E-2</v>
      </c>
      <c r="X240" s="445">
        <f t="shared" si="60"/>
        <v>2.4586976055175017E-3</v>
      </c>
      <c r="Y240" s="43"/>
      <c r="Z240" s="388">
        <f t="shared" si="53"/>
        <v>1.8718971986039403</v>
      </c>
      <c r="AA240" s="43"/>
      <c r="AB240" s="462">
        <f>IF('TAR_Tab 2_Volumina'!C243="storage",1,0)</f>
        <v>0</v>
      </c>
      <c r="AC240" s="389">
        <f t="shared" si="52"/>
        <v>1.8718971986039403</v>
      </c>
      <c r="AD240" s="389">
        <f t="shared" si="54"/>
        <v>1.9978592706535376</v>
      </c>
      <c r="AE240" s="43"/>
      <c r="AF240" s="1027">
        <f t="shared" si="55"/>
        <v>1.9978592706535376</v>
      </c>
      <c r="AG240" s="392">
        <f t="shared" si="56"/>
        <v>1.998</v>
      </c>
      <c r="AH240" s="392">
        <f>AG240+'TAR_Tab 14_Overige tarieven'!$AA$14+'TAR_Tab 14_Overige tarieven'!$AA$15</f>
        <v>2.1779999999999999</v>
      </c>
      <c r="AI240" s="43"/>
    </row>
    <row r="241" spans="1:35">
      <c r="A241" s="96">
        <v>300665</v>
      </c>
      <c r="B241" s="1286" t="s">
        <v>798</v>
      </c>
      <c r="C241" s="1022"/>
      <c r="D241" s="1358"/>
      <c r="E241" s="1022"/>
      <c r="F241" s="1032">
        <v>1.2453120226023722</v>
      </c>
      <c r="G241" s="390">
        <f t="shared" si="47"/>
        <v>1.1850389207084173</v>
      </c>
      <c r="H241" s="390">
        <f t="shared" si="48"/>
        <v>1.2127344718639412</v>
      </c>
      <c r="I241" s="387"/>
      <c r="J241" s="388">
        <f t="shared" si="49"/>
        <v>1.1520977482707442</v>
      </c>
      <c r="K241" s="388">
        <f t="shared" si="50"/>
        <v>1.2733711954571383</v>
      </c>
      <c r="L241" s="1316">
        <v>1.1520977482707442</v>
      </c>
      <c r="M241" s="61" t="b">
        <f t="shared" si="59"/>
        <v>1</v>
      </c>
      <c r="N241" s="857">
        <f t="shared" si="51"/>
        <v>1.1520977482707442</v>
      </c>
      <c r="O241" s="15"/>
      <c r="P241" s="445">
        <f t="shared" si="57"/>
        <v>-5.3431826763411322E-2</v>
      </c>
      <c r="Q241" s="445">
        <f t="shared" si="58"/>
        <v>5.5287703023285104E-2</v>
      </c>
      <c r="R241" s="445">
        <f t="shared" si="60"/>
        <v>0</v>
      </c>
      <c r="S241" s="445">
        <f t="shared" si="60"/>
        <v>2.0828261030861875E-3</v>
      </c>
      <c r="T241" s="445">
        <f t="shared" si="60"/>
        <v>4.8237857177045484E-2</v>
      </c>
      <c r="U241" s="445">
        <f t="shared" si="60"/>
        <v>-6.312917089329447E-3</v>
      </c>
      <c r="V241" s="445">
        <f t="shared" si="60"/>
        <v>-2.3749906862868957E-4</v>
      </c>
      <c r="W241" s="445">
        <f t="shared" si="60"/>
        <v>-1.9637009203159663E-2</v>
      </c>
      <c r="X241" s="445">
        <f t="shared" si="60"/>
        <v>1.5494274860732272E-3</v>
      </c>
      <c r="Y241" s="43"/>
      <c r="Z241" s="388">
        <f t="shared" si="53"/>
        <v>1.179636309935705</v>
      </c>
      <c r="AA241" s="43"/>
      <c r="AB241" s="462">
        <f>IF('TAR_Tab 2_Volumina'!C244="storage",1,0)</f>
        <v>0</v>
      </c>
      <c r="AC241" s="389">
        <f t="shared" si="52"/>
        <v>1.179636309935705</v>
      </c>
      <c r="AD241" s="389">
        <f t="shared" si="54"/>
        <v>1.2590153666356456</v>
      </c>
      <c r="AE241" s="43"/>
      <c r="AF241" s="1027">
        <f t="shared" si="55"/>
        <v>1.2590153666356456</v>
      </c>
      <c r="AG241" s="392">
        <f t="shared" si="56"/>
        <v>1.2589999999999999</v>
      </c>
      <c r="AH241" s="392">
        <f>AG241+'TAR_Tab 14_Overige tarieven'!$AA$14+'TAR_Tab 14_Overige tarieven'!$AA$15</f>
        <v>1.4389999999999998</v>
      </c>
      <c r="AI241" s="43"/>
    </row>
    <row r="242" spans="1:35">
      <c r="A242" s="96">
        <v>300669</v>
      </c>
      <c r="B242" s="1286" t="s">
        <v>292</v>
      </c>
      <c r="C242" s="1022"/>
      <c r="D242" s="1358"/>
      <c r="E242" s="1022"/>
      <c r="F242" s="1032">
        <v>1.9918281272456917</v>
      </c>
      <c r="G242" s="390">
        <f t="shared" si="47"/>
        <v>1.8954236458870002</v>
      </c>
      <c r="H242" s="390">
        <f t="shared" si="48"/>
        <v>1.9397216023749368</v>
      </c>
      <c r="I242" s="387"/>
      <c r="J242" s="388">
        <f t="shared" si="49"/>
        <v>1.8427355222561899</v>
      </c>
      <c r="K242" s="388">
        <f t="shared" si="50"/>
        <v>2.0367076824936836</v>
      </c>
      <c r="L242" s="1316">
        <v>1.9547182090269144</v>
      </c>
      <c r="M242" s="61" t="b">
        <f t="shared" si="59"/>
        <v>1</v>
      </c>
      <c r="N242" s="857">
        <f t="shared" si="51"/>
        <v>1.9547182090269144</v>
      </c>
      <c r="O242" s="15"/>
      <c r="P242" s="445">
        <f t="shared" si="57"/>
        <v>-9.0655645211336039E-2</v>
      </c>
      <c r="Q242" s="445">
        <f t="shared" si="58"/>
        <v>9.3804436296399021E-2</v>
      </c>
      <c r="R242" s="445">
        <f t="shared" si="60"/>
        <v>0</v>
      </c>
      <c r="S242" s="445">
        <f t="shared" si="60"/>
        <v>3.5338478146060667E-3</v>
      </c>
      <c r="T242" s="445">
        <f t="shared" si="60"/>
        <v>8.1843244577066793E-2</v>
      </c>
      <c r="U242" s="445">
        <f t="shared" si="60"/>
        <v>-1.0710874146843269E-2</v>
      </c>
      <c r="V242" s="445">
        <f t="shared" si="60"/>
        <v>-4.029551787356975E-4</v>
      </c>
      <c r="W242" s="445">
        <f t="shared" si="60"/>
        <v>-3.3317328775149049E-2</v>
      </c>
      <c r="X242" s="445">
        <f t="shared" si="60"/>
        <v>2.628851696950272E-3</v>
      </c>
      <c r="Y242" s="43"/>
      <c r="Z242" s="388">
        <f t="shared" si="53"/>
        <v>2.0014417860998726</v>
      </c>
      <c r="AA242" s="43"/>
      <c r="AB242" s="462">
        <f>IF('TAR_Tab 2_Volumina'!C245="storage",1,0)</f>
        <v>0</v>
      </c>
      <c r="AC242" s="389">
        <f t="shared" si="52"/>
        <v>2.0014417860998726</v>
      </c>
      <c r="AD242" s="389">
        <f t="shared" si="54"/>
        <v>2.1361210594337967</v>
      </c>
      <c r="AE242" s="43"/>
      <c r="AF242" s="1027">
        <f t="shared" si="55"/>
        <v>2.1361210594337967</v>
      </c>
      <c r="AG242" s="392">
        <f t="shared" si="56"/>
        <v>2.1360000000000001</v>
      </c>
      <c r="AH242" s="392">
        <f>AG242+'TAR_Tab 14_Overige tarieven'!$AA$14+'TAR_Tab 14_Overige tarieven'!$AA$15</f>
        <v>2.3160000000000003</v>
      </c>
      <c r="AI242" s="43"/>
    </row>
    <row r="243" spans="1:35">
      <c r="A243" s="96">
        <v>300670</v>
      </c>
      <c r="B243" s="1286" t="s">
        <v>170</v>
      </c>
      <c r="C243" s="1022"/>
      <c r="D243" s="1358"/>
      <c r="E243" s="1022"/>
      <c r="F243" s="1032">
        <v>1.299887834045883</v>
      </c>
      <c r="G243" s="390">
        <f t="shared" si="47"/>
        <v>1.2369732628780623</v>
      </c>
      <c r="H243" s="390">
        <f t="shared" si="48"/>
        <v>1.2658825718310331</v>
      </c>
      <c r="I243" s="387"/>
      <c r="J243" s="388">
        <f t="shared" si="49"/>
        <v>1.2025884432394813</v>
      </c>
      <c r="K243" s="388">
        <f t="shared" si="50"/>
        <v>1.329176700422585</v>
      </c>
      <c r="L243" s="1316">
        <v>1.2756695139231871</v>
      </c>
      <c r="M243" s="61" t="b">
        <f t="shared" si="59"/>
        <v>1</v>
      </c>
      <c r="N243" s="857">
        <f t="shared" si="51"/>
        <v>1.2756695139231871</v>
      </c>
      <c r="O243" s="15"/>
      <c r="P243" s="445">
        <f t="shared" si="57"/>
        <v>-5.9162820670048619E-2</v>
      </c>
      <c r="Q243" s="445">
        <f t="shared" si="58"/>
        <v>6.1217754611103778E-2</v>
      </c>
      <c r="R243" s="445">
        <f t="shared" si="60"/>
        <v>0</v>
      </c>
      <c r="S243" s="445">
        <f t="shared" si="60"/>
        <v>2.3062259834276538E-3</v>
      </c>
      <c r="T243" s="445">
        <f t="shared" si="60"/>
        <v>5.3411755999089768E-2</v>
      </c>
      <c r="U243" s="445">
        <f t="shared" si="60"/>
        <v>-6.9900283086828559E-3</v>
      </c>
      <c r="V243" s="445">
        <f t="shared" si="60"/>
        <v>-2.6297275720703149E-4</v>
      </c>
      <c r="W243" s="445">
        <f t="shared" si="60"/>
        <v>-2.1743236650448677E-2</v>
      </c>
      <c r="X243" s="445">
        <f t="shared" si="60"/>
        <v>1.715616067286824E-3</v>
      </c>
      <c r="Y243" s="43"/>
      <c r="Z243" s="388">
        <f t="shared" si="53"/>
        <v>1.306161808197708</v>
      </c>
      <c r="AA243" s="43"/>
      <c r="AB243" s="462">
        <f>IF('TAR_Tab 2_Volumina'!C246="storage",1,0)</f>
        <v>0</v>
      </c>
      <c r="AC243" s="389">
        <f t="shared" si="52"/>
        <v>1.306161808197708</v>
      </c>
      <c r="AD243" s="389">
        <f t="shared" si="54"/>
        <v>1.394054908265028</v>
      </c>
      <c r="AE243" s="43"/>
      <c r="AF243" s="1027">
        <f t="shared" si="55"/>
        <v>1.394054908265028</v>
      </c>
      <c r="AG243" s="392">
        <f t="shared" si="56"/>
        <v>1.3939999999999999</v>
      </c>
      <c r="AH243" s="392">
        <f>AG243+'TAR_Tab 14_Overige tarieven'!$AA$14+'TAR_Tab 14_Overige tarieven'!$AA$15</f>
        <v>1.5739999999999998</v>
      </c>
      <c r="AI243" s="43"/>
    </row>
    <row r="244" spans="1:35">
      <c r="A244" s="96">
        <v>300674</v>
      </c>
      <c r="B244" s="1286" t="s">
        <v>171</v>
      </c>
      <c r="C244" s="1022"/>
      <c r="D244" s="1358"/>
      <c r="E244" s="1022"/>
      <c r="F244" s="1032">
        <v>1.4204656648057958</v>
      </c>
      <c r="G244" s="390">
        <f t="shared" si="47"/>
        <v>1.3517151266291954</v>
      </c>
      <c r="H244" s="390">
        <f t="shared" si="48"/>
        <v>1.3833060683130978</v>
      </c>
      <c r="I244" s="387"/>
      <c r="J244" s="388">
        <f t="shared" si="49"/>
        <v>1.3141407648974428</v>
      </c>
      <c r="K244" s="388">
        <f t="shared" si="50"/>
        <v>1.4524713717287527</v>
      </c>
      <c r="L244" s="1316">
        <v>1.3940008489251121</v>
      </c>
      <c r="M244" s="61" t="b">
        <f t="shared" si="59"/>
        <v>1</v>
      </c>
      <c r="N244" s="857">
        <f t="shared" si="51"/>
        <v>1.3940008489251121</v>
      </c>
      <c r="O244" s="15"/>
      <c r="P244" s="445">
        <f t="shared" si="57"/>
        <v>-6.4650774623605189E-2</v>
      </c>
      <c r="Q244" s="445">
        <f t="shared" si="58"/>
        <v>6.689632460896637E-2</v>
      </c>
      <c r="R244" s="445">
        <f t="shared" si="60"/>
        <v>0</v>
      </c>
      <c r="S244" s="445">
        <f t="shared" si="60"/>
        <v>2.5201519230668712E-3</v>
      </c>
      <c r="T244" s="445">
        <f t="shared" si="60"/>
        <v>5.8366240152851509E-2</v>
      </c>
      <c r="U244" s="445">
        <f t="shared" si="60"/>
        <v>-7.6384245997597744E-3</v>
      </c>
      <c r="V244" s="445">
        <f t="shared" si="60"/>
        <v>-2.8736615776243495E-4</v>
      </c>
      <c r="W244" s="445">
        <f t="shared" si="60"/>
        <v>-2.376014321757175E-2</v>
      </c>
      <c r="X244" s="445">
        <f t="shared" si="60"/>
        <v>1.8747569242070956E-3</v>
      </c>
      <c r="Y244" s="43"/>
      <c r="Z244" s="388">
        <f t="shared" si="53"/>
        <v>1.4273216139355047</v>
      </c>
      <c r="AA244" s="43"/>
      <c r="AB244" s="462">
        <f>IF('TAR_Tab 2_Volumina'!C247="storage",1,0)</f>
        <v>0</v>
      </c>
      <c r="AC244" s="389">
        <f t="shared" si="52"/>
        <v>1.4273216139355047</v>
      </c>
      <c r="AD244" s="389">
        <f t="shared" si="54"/>
        <v>1.5233676938733227</v>
      </c>
      <c r="AE244" s="43"/>
      <c r="AF244" s="1027">
        <f t="shared" si="55"/>
        <v>1.5233676938733227</v>
      </c>
      <c r="AG244" s="392">
        <f t="shared" si="56"/>
        <v>1.5229999999999999</v>
      </c>
      <c r="AH244" s="392">
        <f>AG244+'TAR_Tab 14_Overige tarieven'!$AA$14+'TAR_Tab 14_Overige tarieven'!$AA$15</f>
        <v>1.7029999999999998</v>
      </c>
      <c r="AI244" s="43"/>
    </row>
    <row r="245" spans="1:35">
      <c r="A245" s="96">
        <v>300675</v>
      </c>
      <c r="B245" s="1286" t="s">
        <v>172</v>
      </c>
      <c r="C245" s="1022"/>
      <c r="D245" s="1358"/>
      <c r="E245" s="1022"/>
      <c r="F245" s="1032">
        <v>1.4204656648057958</v>
      </c>
      <c r="G245" s="390">
        <f t="shared" si="47"/>
        <v>1.3517151266291954</v>
      </c>
      <c r="H245" s="390">
        <f t="shared" si="48"/>
        <v>1.3833060683130978</v>
      </c>
      <c r="I245" s="387"/>
      <c r="J245" s="388">
        <f t="shared" si="49"/>
        <v>1.3141407648974428</v>
      </c>
      <c r="K245" s="388">
        <f t="shared" si="50"/>
        <v>1.4524713717287527</v>
      </c>
      <c r="L245" s="1316">
        <v>1.3141407648974428</v>
      </c>
      <c r="M245" s="61" t="b">
        <f t="shared" si="59"/>
        <v>1</v>
      </c>
      <c r="N245" s="857">
        <f t="shared" si="51"/>
        <v>1.3141407648974428</v>
      </c>
      <c r="O245" s="15"/>
      <c r="P245" s="445">
        <f t="shared" si="57"/>
        <v>-6.094703491793993E-2</v>
      </c>
      <c r="Q245" s="445">
        <f t="shared" si="58"/>
        <v>6.3063940928186193E-2</v>
      </c>
      <c r="R245" s="445">
        <f t="shared" si="60"/>
        <v>0</v>
      </c>
      <c r="S245" s="445">
        <f t="shared" si="60"/>
        <v>2.3757764411625379E-3</v>
      </c>
      <c r="T245" s="445">
        <f t="shared" si="60"/>
        <v>5.5022531397881984E-2</v>
      </c>
      <c r="U245" s="445">
        <f t="shared" si="60"/>
        <v>-7.2008314441700952E-3</v>
      </c>
      <c r="V245" s="445">
        <f t="shared" si="60"/>
        <v>-2.7090340917565171E-4</v>
      </c>
      <c r="W245" s="445">
        <f t="shared" si="60"/>
        <v>-2.2398962530108143E-2</v>
      </c>
      <c r="X245" s="445">
        <f t="shared" si="60"/>
        <v>1.7673550918379988E-3</v>
      </c>
      <c r="Y245" s="43"/>
      <c r="Z245" s="388">
        <f t="shared" si="53"/>
        <v>1.3455526364551178</v>
      </c>
      <c r="AA245" s="43"/>
      <c r="AB245" s="462">
        <f>IF('TAR_Tab 2_Volumina'!C248="storage",1,0)</f>
        <v>0</v>
      </c>
      <c r="AC245" s="389">
        <f t="shared" si="52"/>
        <v>1.3455526364551178</v>
      </c>
      <c r="AD245" s="389">
        <f t="shared" si="54"/>
        <v>1.4360963897478145</v>
      </c>
      <c r="AE245" s="43"/>
      <c r="AF245" s="1027">
        <f t="shared" si="55"/>
        <v>1.4360963897478145</v>
      </c>
      <c r="AG245" s="392">
        <f t="shared" si="56"/>
        <v>1.4359999999999999</v>
      </c>
      <c r="AH245" s="392">
        <f>AG245+'TAR_Tab 14_Overige tarieven'!$AA$14+'TAR_Tab 14_Overige tarieven'!$AA$15</f>
        <v>1.6159999999999999</v>
      </c>
      <c r="AI245" s="43"/>
    </row>
    <row r="246" spans="1:35">
      <c r="A246" s="96">
        <v>300680</v>
      </c>
      <c r="B246" s="1286" t="s">
        <v>173</v>
      </c>
      <c r="C246" s="1022"/>
      <c r="D246" s="1358"/>
      <c r="E246" s="1022"/>
      <c r="F246" s="1032">
        <v>1.2136374540834884</v>
      </c>
      <c r="G246" s="390">
        <f t="shared" si="47"/>
        <v>1.1548974013058475</v>
      </c>
      <c r="H246" s="390">
        <f t="shared" si="48"/>
        <v>1.1818885148450777</v>
      </c>
      <c r="I246" s="387"/>
      <c r="J246" s="388">
        <f t="shared" si="49"/>
        <v>1.1227940891028239</v>
      </c>
      <c r="K246" s="388">
        <f t="shared" si="50"/>
        <v>1.2409829405873316</v>
      </c>
      <c r="L246" s="1316">
        <v>1.1910260720810855</v>
      </c>
      <c r="M246" s="61" t="b">
        <f t="shared" si="59"/>
        <v>1</v>
      </c>
      <c r="N246" s="857">
        <f t="shared" si="51"/>
        <v>1.1910260720810855</v>
      </c>
      <c r="O246" s="15"/>
      <c r="P246" s="445">
        <f t="shared" si="57"/>
        <v>-5.523723907078381E-2</v>
      </c>
      <c r="Q246" s="445">
        <f t="shared" si="58"/>
        <v>5.7155823683403467E-2</v>
      </c>
      <c r="R246" s="445">
        <f t="shared" si="60"/>
        <v>0</v>
      </c>
      <c r="S246" s="445">
        <f t="shared" si="60"/>
        <v>2.1532028824031071E-3</v>
      </c>
      <c r="T246" s="445">
        <f t="shared" si="60"/>
        <v>4.9867770026821953E-2</v>
      </c>
      <c r="U246" s="445">
        <f t="shared" si="60"/>
        <v>-6.5262247544213342E-3</v>
      </c>
      <c r="V246" s="445">
        <f t="shared" si="60"/>
        <v>-2.4552394382882704E-4</v>
      </c>
      <c r="W246" s="445">
        <f t="shared" si="60"/>
        <v>-2.0300525692168205E-2</v>
      </c>
      <c r="X246" s="445">
        <f t="shared" si="60"/>
        <v>1.6017812164654918E-3</v>
      </c>
      <c r="Y246" s="43"/>
      <c r="Z246" s="388">
        <f t="shared" si="53"/>
        <v>1.2194951364289772</v>
      </c>
      <c r="AA246" s="43"/>
      <c r="AB246" s="462">
        <f>IF('TAR_Tab 2_Volumina'!C249="storage",1,0)</f>
        <v>0</v>
      </c>
      <c r="AC246" s="389">
        <f t="shared" si="52"/>
        <v>1.2194951364289772</v>
      </c>
      <c r="AD246" s="389">
        <f t="shared" si="54"/>
        <v>1.3015563384830018</v>
      </c>
      <c r="AE246" s="43"/>
      <c r="AF246" s="1027">
        <f t="shared" si="55"/>
        <v>1.3015563384830018</v>
      </c>
      <c r="AG246" s="392">
        <f t="shared" si="56"/>
        <v>1.302</v>
      </c>
      <c r="AH246" s="392">
        <f>AG246+'TAR_Tab 14_Overige tarieven'!$AA$14+'TAR_Tab 14_Overige tarieven'!$AA$15</f>
        <v>1.482</v>
      </c>
      <c r="AI246" s="43"/>
    </row>
    <row r="247" spans="1:35">
      <c r="A247" s="96">
        <v>300681</v>
      </c>
      <c r="B247" s="1286" t="s">
        <v>174</v>
      </c>
      <c r="C247" s="1022"/>
      <c r="D247" s="1358"/>
      <c r="E247" s="1022"/>
      <c r="F247" s="1032">
        <v>1.3212456825171512</v>
      </c>
      <c r="G247" s="390">
        <f t="shared" si="47"/>
        <v>1.2572973914833212</v>
      </c>
      <c r="H247" s="390">
        <f t="shared" si="48"/>
        <v>1.2866816957580844</v>
      </c>
      <c r="I247" s="387"/>
      <c r="J247" s="388">
        <f t="shared" si="49"/>
        <v>1.2223476109701801</v>
      </c>
      <c r="K247" s="388">
        <f t="shared" si="50"/>
        <v>1.3510157805459888</v>
      </c>
      <c r="L247" s="1316">
        <v>1.2966294425140921</v>
      </c>
      <c r="M247" s="61" t="b">
        <f t="shared" si="59"/>
        <v>1</v>
      </c>
      <c r="N247" s="857">
        <f t="shared" si="51"/>
        <v>1.2966294425140921</v>
      </c>
      <c r="O247" s="15"/>
      <c r="P247" s="445">
        <f t="shared" si="57"/>
        <v>-6.0134897279974883E-2</v>
      </c>
      <c r="Q247" s="445">
        <f t="shared" si="58"/>
        <v>6.2223594878618033E-2</v>
      </c>
      <c r="R247" s="445">
        <f t="shared" si="60"/>
        <v>0</v>
      </c>
      <c r="S247" s="445">
        <f t="shared" si="60"/>
        <v>2.3441185029239252E-3</v>
      </c>
      <c r="T247" s="445">
        <f t="shared" si="60"/>
        <v>5.428933955771291E-2</v>
      </c>
      <c r="U247" s="445">
        <f t="shared" si="60"/>
        <v>-7.1048781915085566E-3</v>
      </c>
      <c r="V247" s="445">
        <f t="shared" si="60"/>
        <v>-2.672935394725428E-4</v>
      </c>
      <c r="W247" s="445">
        <f t="shared" si="60"/>
        <v>-2.2100489592965882E-2</v>
      </c>
      <c r="X247" s="445">
        <f t="shared" si="60"/>
        <v>1.7438045517393155E-3</v>
      </c>
      <c r="Y247" s="43"/>
      <c r="Z247" s="388">
        <f t="shared" si="53"/>
        <v>1.3276227414011643</v>
      </c>
      <c r="AA247" s="43"/>
      <c r="AB247" s="462">
        <f>IF('TAR_Tab 2_Volumina'!C250="storage",1,0)</f>
        <v>0</v>
      </c>
      <c r="AC247" s="389">
        <f t="shared" si="52"/>
        <v>1.3276227414011643</v>
      </c>
      <c r="AD247" s="389">
        <f t="shared" si="54"/>
        <v>1.4169599718493842</v>
      </c>
      <c r="AE247" s="43"/>
      <c r="AF247" s="1027">
        <f t="shared" si="55"/>
        <v>1.4169599718493842</v>
      </c>
      <c r="AG247" s="392">
        <f t="shared" si="56"/>
        <v>1.417</v>
      </c>
      <c r="AH247" s="392">
        <f>AG247+'TAR_Tab 14_Overige tarieven'!$AA$14+'TAR_Tab 14_Overige tarieven'!$AA$15</f>
        <v>1.597</v>
      </c>
      <c r="AI247" s="43"/>
    </row>
    <row r="248" spans="1:35">
      <c r="A248" s="96">
        <v>300683</v>
      </c>
      <c r="B248" s="1286" t="s">
        <v>252</v>
      </c>
      <c r="C248" s="1022"/>
      <c r="D248" s="1358"/>
      <c r="E248" s="1022"/>
      <c r="F248" s="1032">
        <v>1.8809153399571279</v>
      </c>
      <c r="G248" s="390">
        <f t="shared" si="47"/>
        <v>1.789879037503203</v>
      </c>
      <c r="H248" s="390">
        <f t="shared" si="48"/>
        <v>1.8317103103661532</v>
      </c>
      <c r="I248" s="387"/>
      <c r="J248" s="388">
        <f t="shared" si="49"/>
        <v>1.7401247948478453</v>
      </c>
      <c r="K248" s="388">
        <f t="shared" si="50"/>
        <v>1.923295825884461</v>
      </c>
      <c r="L248" s="1316">
        <v>1.8458718472543849</v>
      </c>
      <c r="M248" s="61" t="b">
        <f t="shared" si="59"/>
        <v>1</v>
      </c>
      <c r="N248" s="857">
        <f t="shared" si="51"/>
        <v>1.8458718472543849</v>
      </c>
      <c r="O248" s="15"/>
      <c r="P248" s="445">
        <f t="shared" si="57"/>
        <v>-8.5607584007513032E-2</v>
      </c>
      <c r="Q248" s="445">
        <f t="shared" si="58"/>
        <v>8.8581038078776209E-2</v>
      </c>
      <c r="R248" s="445">
        <f t="shared" si="60"/>
        <v>0</v>
      </c>
      <c r="S248" s="445">
        <f t="shared" si="60"/>
        <v>3.3370693347712895E-3</v>
      </c>
      <c r="T248" s="445">
        <f t="shared" si="60"/>
        <v>7.728589233737608E-2</v>
      </c>
      <c r="U248" s="445">
        <f t="shared" si="60"/>
        <v>-1.0114450745811103E-2</v>
      </c>
      <c r="V248" s="445">
        <f t="shared" si="60"/>
        <v>-3.8051705698483181E-4</v>
      </c>
      <c r="W248" s="445">
        <f t="shared" si="60"/>
        <v>-3.1462089485717409E-2</v>
      </c>
      <c r="X248" s="445">
        <f t="shared" si="60"/>
        <v>2.482466943623079E-3</v>
      </c>
      <c r="Y248" s="43"/>
      <c r="Z248" s="388">
        <f t="shared" si="53"/>
        <v>1.8899936726529052</v>
      </c>
      <c r="AA248" s="43"/>
      <c r="AB248" s="462">
        <f>IF('TAR_Tab 2_Volumina'!C251="storage",1,0)</f>
        <v>0</v>
      </c>
      <c r="AC248" s="389">
        <f t="shared" si="52"/>
        <v>1.8899936726529052</v>
      </c>
      <c r="AD248" s="389">
        <f t="shared" si="54"/>
        <v>2.0171734768352816</v>
      </c>
      <c r="AE248" s="43"/>
      <c r="AF248" s="1027">
        <f t="shared" si="55"/>
        <v>2.0171734768352816</v>
      </c>
      <c r="AG248" s="392">
        <f t="shared" si="56"/>
        <v>2.0169999999999999</v>
      </c>
      <c r="AH248" s="392">
        <f>AG248+'TAR_Tab 14_Overige tarieven'!$AA$14+'TAR_Tab 14_Overige tarieven'!$AA$15</f>
        <v>2.1970000000000001</v>
      </c>
      <c r="AI248" s="43"/>
    </row>
    <row r="249" spans="1:35">
      <c r="A249" s="96">
        <v>300684</v>
      </c>
      <c r="B249" s="1286" t="s">
        <v>253</v>
      </c>
      <c r="C249" s="1022"/>
      <c r="D249" s="1358"/>
      <c r="E249" s="1022"/>
      <c r="F249" s="1032">
        <v>1.249361817797827</v>
      </c>
      <c r="G249" s="390">
        <f t="shared" si="47"/>
        <v>1.188892705816412</v>
      </c>
      <c r="H249" s="390">
        <f t="shared" si="48"/>
        <v>1.2166783238049621</v>
      </c>
      <c r="I249" s="387"/>
      <c r="J249" s="388">
        <f t="shared" si="49"/>
        <v>1.1558444076147139</v>
      </c>
      <c r="K249" s="388">
        <f t="shared" si="50"/>
        <v>1.2775122399952104</v>
      </c>
      <c r="L249" s="1316">
        <v>1.2260848521550873</v>
      </c>
      <c r="M249" s="61" t="b">
        <f t="shared" si="59"/>
        <v>1</v>
      </c>
      <c r="N249" s="857">
        <f t="shared" si="51"/>
        <v>1.2260848521550873</v>
      </c>
      <c r="O249" s="15"/>
      <c r="P249" s="445">
        <f t="shared" si="57"/>
        <v>-5.686319022489577E-2</v>
      </c>
      <c r="Q249" s="445">
        <f t="shared" si="58"/>
        <v>5.8838249869896261E-2</v>
      </c>
      <c r="R249" s="445">
        <f t="shared" si="60"/>
        <v>0</v>
      </c>
      <c r="S249" s="445">
        <f t="shared" si="60"/>
        <v>2.216584086289749E-3</v>
      </c>
      <c r="T249" s="445">
        <f t="shared" si="60"/>
        <v>5.133566667756146E-2</v>
      </c>
      <c r="U249" s="445">
        <f t="shared" si="60"/>
        <v>-6.7183292630816514E-3</v>
      </c>
      <c r="V249" s="445">
        <f t="shared" si="60"/>
        <v>-2.5275113234415149E-4</v>
      </c>
      <c r="W249" s="445">
        <f t="shared" si="60"/>
        <v>-2.0898087477179989E-2</v>
      </c>
      <c r="X249" s="445">
        <f t="shared" si="60"/>
        <v>1.6489308941351069E-3</v>
      </c>
      <c r="Y249" s="43"/>
      <c r="Z249" s="388">
        <f t="shared" si="53"/>
        <v>1.2553919255854684</v>
      </c>
      <c r="AA249" s="43"/>
      <c r="AB249" s="462">
        <f>IF('TAR_Tab 2_Volumina'!C252="storage",1,0)</f>
        <v>0</v>
      </c>
      <c r="AC249" s="389">
        <f t="shared" si="52"/>
        <v>1.2553919255854684</v>
      </c>
      <c r="AD249" s="389">
        <f t="shared" si="54"/>
        <v>1.3398686630361223</v>
      </c>
      <c r="AE249" s="43"/>
      <c r="AF249" s="1027">
        <f t="shared" si="55"/>
        <v>1.3398686630361223</v>
      </c>
      <c r="AG249" s="392">
        <f t="shared" si="56"/>
        <v>1.34</v>
      </c>
      <c r="AH249" s="392">
        <f>AG249+'TAR_Tab 14_Overige tarieven'!$AA$14+'TAR_Tab 14_Overige tarieven'!$AA$15</f>
        <v>1.52</v>
      </c>
      <c r="AI249" s="43"/>
    </row>
    <row r="250" spans="1:35">
      <c r="A250" s="96">
        <v>300685</v>
      </c>
      <c r="B250" s="1286" t="s">
        <v>293</v>
      </c>
      <c r="C250" s="1022"/>
      <c r="D250" s="1358"/>
      <c r="E250" s="1022"/>
      <c r="F250" s="1032">
        <v>1.4204656648057958</v>
      </c>
      <c r="G250" s="390">
        <f t="shared" si="47"/>
        <v>1.3517151266291954</v>
      </c>
      <c r="H250" s="390">
        <f t="shared" si="48"/>
        <v>1.3833060683130978</v>
      </c>
      <c r="I250" s="387"/>
      <c r="J250" s="388">
        <f t="shared" si="49"/>
        <v>1.3141407648974428</v>
      </c>
      <c r="K250" s="388">
        <f t="shared" si="50"/>
        <v>1.4524713717287527</v>
      </c>
      <c r="L250" s="1316">
        <v>1.3940008489251121</v>
      </c>
      <c r="M250" s="61" t="b">
        <f t="shared" si="59"/>
        <v>1</v>
      </c>
      <c r="N250" s="857">
        <f t="shared" si="51"/>
        <v>1.3940008489251121</v>
      </c>
      <c r="O250" s="15"/>
      <c r="P250" s="445">
        <f t="shared" si="57"/>
        <v>-6.4650774623605189E-2</v>
      </c>
      <c r="Q250" s="445">
        <f t="shared" si="58"/>
        <v>6.689632460896637E-2</v>
      </c>
      <c r="R250" s="445">
        <f t="shared" si="60"/>
        <v>0</v>
      </c>
      <c r="S250" s="445">
        <f t="shared" si="60"/>
        <v>2.5201519230668712E-3</v>
      </c>
      <c r="T250" s="445">
        <f t="shared" si="60"/>
        <v>5.8366240152851509E-2</v>
      </c>
      <c r="U250" s="445">
        <f t="shared" si="60"/>
        <v>-7.6384245997597744E-3</v>
      </c>
      <c r="V250" s="445">
        <f t="shared" si="60"/>
        <v>-2.8736615776243495E-4</v>
      </c>
      <c r="W250" s="445">
        <f t="shared" si="60"/>
        <v>-2.376014321757175E-2</v>
      </c>
      <c r="X250" s="445">
        <f t="shared" si="60"/>
        <v>1.8747569242070956E-3</v>
      </c>
      <c r="Y250" s="43"/>
      <c r="Z250" s="388">
        <f t="shared" si="53"/>
        <v>1.4273216139355047</v>
      </c>
      <c r="AA250" s="43"/>
      <c r="AB250" s="462">
        <f>IF('TAR_Tab 2_Volumina'!C253="storage",1,0)</f>
        <v>0</v>
      </c>
      <c r="AC250" s="389">
        <f t="shared" si="52"/>
        <v>1.4273216139355047</v>
      </c>
      <c r="AD250" s="389">
        <f t="shared" si="54"/>
        <v>1.5233676938733227</v>
      </c>
      <c r="AE250" s="43"/>
      <c r="AF250" s="1027">
        <f t="shared" si="55"/>
        <v>1.5233676938733227</v>
      </c>
      <c r="AG250" s="392">
        <f t="shared" si="56"/>
        <v>1.5229999999999999</v>
      </c>
      <c r="AH250" s="392">
        <f>AG250+'TAR_Tab 14_Overige tarieven'!$AA$14+'TAR_Tab 14_Overige tarieven'!$AA$15</f>
        <v>1.7029999999999998</v>
      </c>
      <c r="AI250" s="43"/>
    </row>
    <row r="251" spans="1:35">
      <c r="A251" s="96">
        <v>300686</v>
      </c>
      <c r="B251" s="1286" t="s">
        <v>254</v>
      </c>
      <c r="C251" s="1022"/>
      <c r="D251" s="1358"/>
      <c r="E251" s="1022"/>
      <c r="F251" s="1032">
        <v>1.2453120226023722</v>
      </c>
      <c r="G251" s="390">
        <f t="shared" si="47"/>
        <v>1.1850389207084173</v>
      </c>
      <c r="H251" s="390">
        <f t="shared" si="48"/>
        <v>1.2127344718639412</v>
      </c>
      <c r="I251" s="387"/>
      <c r="J251" s="388">
        <f t="shared" si="49"/>
        <v>1.1520977482707442</v>
      </c>
      <c r="K251" s="388">
        <f t="shared" si="50"/>
        <v>1.2733711954571383</v>
      </c>
      <c r="L251" s="1316">
        <v>1.1520977482707442</v>
      </c>
      <c r="M251" s="61" t="b">
        <f t="shared" si="59"/>
        <v>1</v>
      </c>
      <c r="N251" s="857">
        <f t="shared" si="51"/>
        <v>1.1520977482707442</v>
      </c>
      <c r="O251" s="15"/>
      <c r="P251" s="445">
        <f t="shared" si="57"/>
        <v>-5.3431826763411322E-2</v>
      </c>
      <c r="Q251" s="445">
        <f t="shared" si="58"/>
        <v>5.5287703023285104E-2</v>
      </c>
      <c r="R251" s="445">
        <f t="shared" si="60"/>
        <v>0</v>
      </c>
      <c r="S251" s="445">
        <f t="shared" si="60"/>
        <v>2.0828261030861875E-3</v>
      </c>
      <c r="T251" s="445">
        <f t="shared" si="60"/>
        <v>4.8237857177045484E-2</v>
      </c>
      <c r="U251" s="445">
        <f t="shared" si="60"/>
        <v>-6.312917089329447E-3</v>
      </c>
      <c r="V251" s="445">
        <f t="shared" si="60"/>
        <v>-2.3749906862868957E-4</v>
      </c>
      <c r="W251" s="445">
        <f t="shared" si="60"/>
        <v>-1.9637009203159663E-2</v>
      </c>
      <c r="X251" s="445">
        <f t="shared" si="60"/>
        <v>1.5494274860732272E-3</v>
      </c>
      <c r="Y251" s="43"/>
      <c r="Z251" s="388">
        <f t="shared" si="53"/>
        <v>1.179636309935705</v>
      </c>
      <c r="AA251" s="43"/>
      <c r="AB251" s="462">
        <f>IF('TAR_Tab 2_Volumina'!C254="storage",1,0)</f>
        <v>0</v>
      </c>
      <c r="AC251" s="389">
        <f t="shared" si="52"/>
        <v>1.179636309935705</v>
      </c>
      <c r="AD251" s="389">
        <f t="shared" si="54"/>
        <v>1.2590153666356456</v>
      </c>
      <c r="AE251" s="43"/>
      <c r="AF251" s="1027">
        <f t="shared" si="55"/>
        <v>1.2590153666356456</v>
      </c>
      <c r="AG251" s="392">
        <f t="shared" si="56"/>
        <v>1.2589999999999999</v>
      </c>
      <c r="AH251" s="392">
        <f>AG251+'TAR_Tab 14_Overige tarieven'!$AA$14+'TAR_Tab 14_Overige tarieven'!$AA$15</f>
        <v>1.4389999999999998</v>
      </c>
      <c r="AI251" s="43"/>
    </row>
    <row r="252" spans="1:35">
      <c r="A252" s="96">
        <v>300687</v>
      </c>
      <c r="B252" s="1286" t="s">
        <v>799</v>
      </c>
      <c r="C252" s="1022"/>
      <c r="D252" s="1358"/>
      <c r="E252" s="1022"/>
      <c r="F252" s="1032">
        <v>1.159886611128742</v>
      </c>
      <c r="G252" s="390">
        <f t="shared" si="47"/>
        <v>1.103748099150111</v>
      </c>
      <c r="H252" s="390">
        <f t="shared" si="48"/>
        <v>1.1295438020663915</v>
      </c>
      <c r="I252" s="387"/>
      <c r="J252" s="388">
        <f t="shared" si="49"/>
        <v>1.0730666119630718</v>
      </c>
      <c r="K252" s="388">
        <f t="shared" si="50"/>
        <v>1.1860209921697111</v>
      </c>
      <c r="L252" s="1316">
        <v>1.1520977482707442</v>
      </c>
      <c r="M252" s="61" t="b">
        <f t="shared" si="59"/>
        <v>1</v>
      </c>
      <c r="N252" s="857">
        <f t="shared" si="51"/>
        <v>1.1520977482707442</v>
      </c>
      <c r="O252" s="15"/>
      <c r="P252" s="445">
        <f t="shared" si="57"/>
        <v>-5.3431826763411322E-2</v>
      </c>
      <c r="Q252" s="445">
        <f t="shared" si="58"/>
        <v>5.5287703023285104E-2</v>
      </c>
      <c r="R252" s="445">
        <f t="shared" si="60"/>
        <v>0</v>
      </c>
      <c r="S252" s="445">
        <f t="shared" si="60"/>
        <v>2.0828261030861875E-3</v>
      </c>
      <c r="T252" s="445">
        <f t="shared" si="60"/>
        <v>4.8237857177045484E-2</v>
      </c>
      <c r="U252" s="445">
        <f t="shared" si="60"/>
        <v>-6.312917089329447E-3</v>
      </c>
      <c r="V252" s="445">
        <f t="shared" si="60"/>
        <v>-2.3749906862868957E-4</v>
      </c>
      <c r="W252" s="445">
        <f t="shared" si="60"/>
        <v>-1.9637009203159663E-2</v>
      </c>
      <c r="X252" s="445">
        <f t="shared" si="60"/>
        <v>1.5494274860732272E-3</v>
      </c>
      <c r="Y252" s="43"/>
      <c r="Z252" s="388">
        <f t="shared" si="53"/>
        <v>1.179636309935705</v>
      </c>
      <c r="AA252" s="43"/>
      <c r="AB252" s="462">
        <f>IF('TAR_Tab 2_Volumina'!C255="storage",1,0)</f>
        <v>0</v>
      </c>
      <c r="AC252" s="389">
        <f t="shared" si="52"/>
        <v>1.179636309935705</v>
      </c>
      <c r="AD252" s="389">
        <f t="shared" si="54"/>
        <v>1.2590153666356456</v>
      </c>
      <c r="AE252" s="43"/>
      <c r="AF252" s="1027">
        <f t="shared" si="55"/>
        <v>1.2590153666356456</v>
      </c>
      <c r="AG252" s="392">
        <f t="shared" si="56"/>
        <v>1.2589999999999999</v>
      </c>
      <c r="AH252" s="392">
        <f>AG252+'TAR_Tab 14_Overige tarieven'!$AA$14+'TAR_Tab 14_Overige tarieven'!$AA$15</f>
        <v>1.4389999999999998</v>
      </c>
      <c r="AI252" s="43"/>
    </row>
    <row r="253" spans="1:35">
      <c r="A253" s="96">
        <v>300691</v>
      </c>
      <c r="B253" s="1286" t="s">
        <v>294</v>
      </c>
      <c r="C253" s="1022"/>
      <c r="D253" s="1358"/>
      <c r="E253" s="1022"/>
      <c r="F253" s="1032">
        <v>2.0558226052294888</v>
      </c>
      <c r="G253" s="390">
        <f t="shared" si="47"/>
        <v>1.9563207911363816</v>
      </c>
      <c r="H253" s="390">
        <f t="shared" si="48"/>
        <v>2.0020419751420029</v>
      </c>
      <c r="I253" s="387"/>
      <c r="J253" s="388">
        <f t="shared" si="49"/>
        <v>1.9019398763849027</v>
      </c>
      <c r="K253" s="388">
        <f t="shared" si="50"/>
        <v>2.1021440738991033</v>
      </c>
      <c r="L253" s="1316">
        <v>2.0175204004815939</v>
      </c>
      <c r="M253" s="61" t="b">
        <f t="shared" si="59"/>
        <v>1</v>
      </c>
      <c r="N253" s="857">
        <f t="shared" si="51"/>
        <v>2.0175204004815939</v>
      </c>
      <c r="O253" s="15"/>
      <c r="P253" s="445">
        <f t="shared" si="57"/>
        <v>-9.3568276382784574E-2</v>
      </c>
      <c r="Q253" s="445">
        <f t="shared" si="58"/>
        <v>9.6818233446484103E-2</v>
      </c>
      <c r="R253" s="445">
        <f t="shared" si="60"/>
        <v>0</v>
      </c>
      <c r="S253" s="445">
        <f t="shared" si="60"/>
        <v>3.6473850937901965E-3</v>
      </c>
      <c r="T253" s="445">
        <f t="shared" si="60"/>
        <v>8.4472746410868105E-2</v>
      </c>
      <c r="U253" s="445">
        <f t="shared" si="60"/>
        <v>-1.1054998617424575E-2</v>
      </c>
      <c r="V253" s="445">
        <f t="shared" si="60"/>
        <v>-4.1590152985973583E-4</v>
      </c>
      <c r="W253" s="445">
        <f t="shared" si="60"/>
        <v>-3.4387765041017281E-2</v>
      </c>
      <c r="X253" s="445">
        <f t="shared" si="60"/>
        <v>2.7133127956474688E-3</v>
      </c>
      <c r="Y253" s="43"/>
      <c r="Z253" s="388">
        <f t="shared" si="53"/>
        <v>2.0657451366572976</v>
      </c>
      <c r="AA253" s="43"/>
      <c r="AB253" s="462">
        <f>IF('TAR_Tab 2_Volumina'!C256="storage",1,0)</f>
        <v>0</v>
      </c>
      <c r="AC253" s="389">
        <f t="shared" si="52"/>
        <v>2.0657451366572976</v>
      </c>
      <c r="AD253" s="389">
        <f t="shared" si="54"/>
        <v>2.2047514549176128</v>
      </c>
      <c r="AE253" s="43"/>
      <c r="AF253" s="1027">
        <f t="shared" si="55"/>
        <v>2.2047514549176128</v>
      </c>
      <c r="AG253" s="392">
        <f t="shared" si="56"/>
        <v>2.2050000000000001</v>
      </c>
      <c r="AH253" s="392">
        <f>AG253+'TAR_Tab 14_Overige tarieven'!$AA$14+'TAR_Tab 14_Overige tarieven'!$AA$15</f>
        <v>2.3850000000000002</v>
      </c>
      <c r="AI253" s="43"/>
    </row>
    <row r="254" spans="1:35">
      <c r="A254" s="96">
        <v>300692</v>
      </c>
      <c r="B254" s="1286" t="s">
        <v>295</v>
      </c>
      <c r="C254" s="1022"/>
      <c r="D254" s="1358"/>
      <c r="E254" s="1022"/>
      <c r="F254" s="1032">
        <v>1.9359232414087051</v>
      </c>
      <c r="G254" s="390">
        <f t="shared" si="47"/>
        <v>1.8422245565245237</v>
      </c>
      <c r="H254" s="390">
        <f t="shared" si="48"/>
        <v>1.8852791968013902</v>
      </c>
      <c r="I254" s="387"/>
      <c r="J254" s="388">
        <f t="shared" si="49"/>
        <v>1.7910152369613206</v>
      </c>
      <c r="K254" s="388">
        <f t="shared" si="50"/>
        <v>1.9795431566414599</v>
      </c>
      <c r="L254" s="1316">
        <v>1.8998548918439004</v>
      </c>
      <c r="M254" s="61" t="b">
        <f t="shared" si="59"/>
        <v>1</v>
      </c>
      <c r="N254" s="857">
        <f t="shared" si="51"/>
        <v>1.8998548918439004</v>
      </c>
      <c r="O254" s="15"/>
      <c r="P254" s="445">
        <f t="shared" si="57"/>
        <v>-8.8111202030374286E-2</v>
      </c>
      <c r="Q254" s="445">
        <f t="shared" si="58"/>
        <v>9.1171615607495163E-2</v>
      </c>
      <c r="R254" s="445">
        <f t="shared" si="60"/>
        <v>0</v>
      </c>
      <c r="S254" s="445">
        <f t="shared" si="60"/>
        <v>3.4346628719202619E-3</v>
      </c>
      <c r="T254" s="445">
        <f t="shared" si="60"/>
        <v>7.9546140132148419E-2</v>
      </c>
      <c r="U254" s="445">
        <f t="shared" si="60"/>
        <v>-1.0410250720452751E-2</v>
      </c>
      <c r="V254" s="445">
        <f t="shared" si="60"/>
        <v>-3.9164538600986002E-4</v>
      </c>
      <c r="W254" s="445">
        <f t="shared" si="60"/>
        <v>-3.2382207197092172E-2</v>
      </c>
      <c r="X254" s="445">
        <f t="shared" si="60"/>
        <v>2.5550673919743205E-3</v>
      </c>
      <c r="Y254" s="43"/>
      <c r="Z254" s="388">
        <f t="shared" si="53"/>
        <v>1.9452670725135095</v>
      </c>
      <c r="AA254" s="43"/>
      <c r="AB254" s="462">
        <f>IF('TAR_Tab 2_Volumina'!C257="storage",1,0)</f>
        <v>0</v>
      </c>
      <c r="AC254" s="389">
        <f t="shared" si="52"/>
        <v>1.9452670725135095</v>
      </c>
      <c r="AD254" s="389">
        <f t="shared" si="54"/>
        <v>2.0761662860634837</v>
      </c>
      <c r="AE254" s="43"/>
      <c r="AF254" s="1027">
        <f t="shared" si="55"/>
        <v>2.0761662860634837</v>
      </c>
      <c r="AG254" s="392">
        <f t="shared" si="56"/>
        <v>2.0760000000000001</v>
      </c>
      <c r="AH254" s="392">
        <f>AG254+'TAR_Tab 14_Overige tarieven'!$AA$14+'TAR_Tab 14_Overige tarieven'!$AA$15</f>
        <v>2.2560000000000002</v>
      </c>
      <c r="AI254" s="43"/>
    </row>
    <row r="255" spans="1:35">
      <c r="A255" s="96">
        <v>300693</v>
      </c>
      <c r="B255" s="1286" t="s">
        <v>176</v>
      </c>
      <c r="C255" s="1022"/>
      <c r="D255" s="1358"/>
      <c r="E255" s="1022"/>
      <c r="F255" s="1032">
        <v>1.2453120226023722</v>
      </c>
      <c r="G255" s="390">
        <f t="shared" si="47"/>
        <v>1.1850389207084173</v>
      </c>
      <c r="H255" s="390">
        <f t="shared" si="48"/>
        <v>1.2127344718639412</v>
      </c>
      <c r="I255" s="387"/>
      <c r="J255" s="388">
        <f t="shared" si="49"/>
        <v>1.1520977482707442</v>
      </c>
      <c r="K255" s="388">
        <f t="shared" si="50"/>
        <v>1.2733711954571383</v>
      </c>
      <c r="L255" s="1316">
        <v>1.2221105090362703</v>
      </c>
      <c r="M255" s="61" t="b">
        <f t="shared" si="59"/>
        <v>1</v>
      </c>
      <c r="N255" s="857">
        <f t="shared" si="51"/>
        <v>1.2221105090362703</v>
      </c>
      <c r="O255" s="15"/>
      <c r="P255" s="445">
        <f t="shared" si="57"/>
        <v>-5.6678868700665963E-2</v>
      </c>
      <c r="Q255" s="445">
        <f t="shared" si="58"/>
        <v>5.8647526207433069E-2</v>
      </c>
      <c r="R255" s="445">
        <f t="shared" si="60"/>
        <v>0</v>
      </c>
      <c r="S255" s="445">
        <f t="shared" si="60"/>
        <v>2.2093990487328944E-3</v>
      </c>
      <c r="T255" s="445">
        <f t="shared" si="60"/>
        <v>5.1169262571637439E-2</v>
      </c>
      <c r="U255" s="445">
        <f t="shared" si="60"/>
        <v>-6.6965518586632354E-3</v>
      </c>
      <c r="V255" s="445">
        <f t="shared" si="60"/>
        <v>-2.5193184180170695E-4</v>
      </c>
      <c r="W255" s="445">
        <f t="shared" si="60"/>
        <v>-2.0830346512910363E-2</v>
      </c>
      <c r="X255" s="445">
        <f t="shared" si="60"/>
        <v>1.6435858993405037E-3</v>
      </c>
      <c r="Y255" s="43"/>
      <c r="Z255" s="388">
        <f t="shared" si="53"/>
        <v>1.2513225838493729</v>
      </c>
      <c r="AA255" s="43"/>
      <c r="AB255" s="462">
        <f>IF('TAR_Tab 2_Volumina'!C258="storage",1,0)</f>
        <v>0</v>
      </c>
      <c r="AC255" s="389">
        <f t="shared" si="52"/>
        <v>1.2513225838493729</v>
      </c>
      <c r="AD255" s="389">
        <f t="shared" si="54"/>
        <v>1.3355254907086145</v>
      </c>
      <c r="AE255" s="43"/>
      <c r="AF255" s="1027">
        <f t="shared" si="55"/>
        <v>1.3355254907086145</v>
      </c>
      <c r="AG255" s="392">
        <f t="shared" si="56"/>
        <v>1.3360000000000001</v>
      </c>
      <c r="AH255" s="392">
        <f>AG255+'TAR_Tab 14_Overige tarieven'!$AA$14+'TAR_Tab 14_Overige tarieven'!$AA$15</f>
        <v>1.516</v>
      </c>
      <c r="AI255" s="43"/>
    </row>
    <row r="256" spans="1:35">
      <c r="A256" s="96">
        <v>300694</v>
      </c>
      <c r="B256" s="1286" t="s">
        <v>177</v>
      </c>
      <c r="C256" s="1022"/>
      <c r="D256" s="1358"/>
      <c r="E256" s="1022"/>
      <c r="F256" s="1032">
        <v>1.2136374540834884</v>
      </c>
      <c r="G256" s="390">
        <f t="shared" si="47"/>
        <v>1.1548974013058475</v>
      </c>
      <c r="H256" s="390">
        <f t="shared" si="48"/>
        <v>1.1818885148450777</v>
      </c>
      <c r="I256" s="387"/>
      <c r="J256" s="388">
        <f t="shared" si="49"/>
        <v>1.1227940891028239</v>
      </c>
      <c r="K256" s="388">
        <f t="shared" si="50"/>
        <v>1.2409829405873316</v>
      </c>
      <c r="L256" s="1316">
        <v>1.1910260720810855</v>
      </c>
      <c r="M256" s="61" t="b">
        <f t="shared" si="59"/>
        <v>1</v>
      </c>
      <c r="N256" s="857">
        <f t="shared" si="51"/>
        <v>1.1910260720810855</v>
      </c>
      <c r="O256" s="15"/>
      <c r="P256" s="445">
        <f t="shared" si="57"/>
        <v>-5.523723907078381E-2</v>
      </c>
      <c r="Q256" s="445">
        <f t="shared" si="58"/>
        <v>5.7155823683403467E-2</v>
      </c>
      <c r="R256" s="445">
        <f t="shared" si="60"/>
        <v>0</v>
      </c>
      <c r="S256" s="445">
        <f t="shared" si="60"/>
        <v>2.1532028824031071E-3</v>
      </c>
      <c r="T256" s="445">
        <f t="shared" si="60"/>
        <v>4.9867770026821953E-2</v>
      </c>
      <c r="U256" s="445">
        <f t="shared" si="60"/>
        <v>-6.5262247544213342E-3</v>
      </c>
      <c r="V256" s="445">
        <f t="shared" si="60"/>
        <v>-2.4552394382882704E-4</v>
      </c>
      <c r="W256" s="445">
        <f t="shared" si="60"/>
        <v>-2.0300525692168205E-2</v>
      </c>
      <c r="X256" s="445">
        <f t="shared" si="60"/>
        <v>1.6017812164654918E-3</v>
      </c>
      <c r="Y256" s="43"/>
      <c r="Z256" s="388">
        <f t="shared" si="53"/>
        <v>1.2194951364289772</v>
      </c>
      <c r="AA256" s="43"/>
      <c r="AB256" s="462">
        <f>IF('TAR_Tab 2_Volumina'!C259="storage",1,0)</f>
        <v>0</v>
      </c>
      <c r="AC256" s="389">
        <f t="shared" si="52"/>
        <v>1.2194951364289772</v>
      </c>
      <c r="AD256" s="389">
        <f t="shared" si="54"/>
        <v>1.3015563384830018</v>
      </c>
      <c r="AE256" s="43"/>
      <c r="AF256" s="1027">
        <f t="shared" si="55"/>
        <v>1.3015563384830018</v>
      </c>
      <c r="AG256" s="392">
        <f t="shared" si="56"/>
        <v>1.302</v>
      </c>
      <c r="AH256" s="392">
        <f>AG256+'TAR_Tab 14_Overige tarieven'!$AA$14+'TAR_Tab 14_Overige tarieven'!$AA$15</f>
        <v>1.482</v>
      </c>
      <c r="AI256" s="43"/>
    </row>
    <row r="257" spans="1:35">
      <c r="A257" s="96">
        <v>300696</v>
      </c>
      <c r="B257" s="1286" t="s">
        <v>178</v>
      </c>
      <c r="C257" s="1022"/>
      <c r="D257" s="1358"/>
      <c r="E257" s="1022"/>
      <c r="F257" s="1032">
        <v>1.987436992169477</v>
      </c>
      <c r="G257" s="390">
        <f t="shared" si="47"/>
        <v>1.8912450417484743</v>
      </c>
      <c r="H257" s="390">
        <f t="shared" si="48"/>
        <v>1.9354453400560299</v>
      </c>
      <c r="I257" s="387"/>
      <c r="J257" s="388">
        <f t="shared" si="49"/>
        <v>1.8386730730532284</v>
      </c>
      <c r="K257" s="388">
        <f t="shared" si="50"/>
        <v>2.0322176070588314</v>
      </c>
      <c r="L257" s="1316">
        <v>1.9504088855595112</v>
      </c>
      <c r="M257" s="61" t="b">
        <f t="shared" si="59"/>
        <v>1</v>
      </c>
      <c r="N257" s="857">
        <f t="shared" si="51"/>
        <v>1.9504088855595112</v>
      </c>
      <c r="O257" s="15"/>
      <c r="P257" s="445">
        <f t="shared" si="57"/>
        <v>-9.0455788015778291E-2</v>
      </c>
      <c r="Q257" s="445">
        <f t="shared" si="58"/>
        <v>9.359763735381392E-2</v>
      </c>
      <c r="R257" s="445">
        <f t="shared" si="60"/>
        <v>0</v>
      </c>
      <c r="S257" s="445">
        <f t="shared" si="60"/>
        <v>3.5260571810265622E-3</v>
      </c>
      <c r="T257" s="445">
        <f t="shared" si="60"/>
        <v>8.1662814982214879E-2</v>
      </c>
      <c r="U257" s="445">
        <f t="shared" si="60"/>
        <v>-1.0687261218338157E-2</v>
      </c>
      <c r="V257" s="445">
        <f t="shared" si="60"/>
        <v>-4.0206683370467541E-4</v>
      </c>
      <c r="W257" s="445">
        <f t="shared" si="60"/>
        <v>-3.3243878215319551E-2</v>
      </c>
      <c r="X257" s="445">
        <f t="shared" si="60"/>
        <v>2.623056195451552E-3</v>
      </c>
      <c r="Y257" s="43"/>
      <c r="Z257" s="388">
        <f t="shared" si="53"/>
        <v>1.9970294569888773</v>
      </c>
      <c r="AA257" s="43"/>
      <c r="AB257" s="462">
        <f>IF('TAR_Tab 2_Volumina'!C260="storage",1,0)</f>
        <v>0</v>
      </c>
      <c r="AC257" s="389">
        <f t="shared" si="52"/>
        <v>1.9970294569888773</v>
      </c>
      <c r="AD257" s="389">
        <f t="shared" si="54"/>
        <v>2.131411819724399</v>
      </c>
      <c r="AE257" s="43"/>
      <c r="AF257" s="1027">
        <f t="shared" si="55"/>
        <v>2.131411819724399</v>
      </c>
      <c r="AG257" s="392">
        <f t="shared" si="56"/>
        <v>2.1309999999999998</v>
      </c>
      <c r="AH257" s="392">
        <f>AG257+'TAR_Tab 14_Overige tarieven'!$AA$14+'TAR_Tab 14_Overige tarieven'!$AA$15</f>
        <v>2.3109999999999999</v>
      </c>
      <c r="AI257" s="43"/>
    </row>
    <row r="258" spans="1:35">
      <c r="A258" s="96">
        <v>300703</v>
      </c>
      <c r="B258" s="1286" t="s">
        <v>179</v>
      </c>
      <c r="C258" s="1022"/>
      <c r="D258" s="1358"/>
      <c r="E258" s="1022"/>
      <c r="F258" s="1032">
        <v>1.9317523082319727</v>
      </c>
      <c r="G258" s="390">
        <f t="shared" si="47"/>
        <v>1.8382554965135454</v>
      </c>
      <c r="H258" s="390">
        <f t="shared" si="48"/>
        <v>1.8812173758669921</v>
      </c>
      <c r="I258" s="387"/>
      <c r="J258" s="388">
        <f t="shared" si="49"/>
        <v>1.7871565070736424</v>
      </c>
      <c r="K258" s="388">
        <f t="shared" si="50"/>
        <v>1.9752782446603419</v>
      </c>
      <c r="L258" s="1316">
        <v>1.8957616676757758</v>
      </c>
      <c r="M258" s="61" t="b">
        <f t="shared" si="59"/>
        <v>1</v>
      </c>
      <c r="N258" s="857">
        <f t="shared" si="51"/>
        <v>1.8957616676757758</v>
      </c>
      <c r="O258" s="15"/>
      <c r="P258" s="445">
        <f t="shared" si="57"/>
        <v>-8.7921367057618452E-2</v>
      </c>
      <c r="Q258" s="445">
        <f t="shared" si="58"/>
        <v>9.0975186994944973E-2</v>
      </c>
      <c r="R258" s="445">
        <f t="shared" si="60"/>
        <v>0</v>
      </c>
      <c r="S258" s="445">
        <f t="shared" si="60"/>
        <v>3.4272629146198073E-3</v>
      </c>
      <c r="T258" s="445">
        <f t="shared" si="60"/>
        <v>7.9374758525759564E-2</v>
      </c>
      <c r="U258" s="445">
        <f t="shared" si="60"/>
        <v>-1.0387821907584922E-2</v>
      </c>
      <c r="V258" s="445">
        <f t="shared" si="60"/>
        <v>-3.9080158874606256E-4</v>
      </c>
      <c r="W258" s="445">
        <f t="shared" si="60"/>
        <v>-3.2312439956612184E-2</v>
      </c>
      <c r="X258" s="445">
        <f t="shared" si="60"/>
        <v>2.5495625170257577E-3</v>
      </c>
      <c r="Y258" s="43"/>
      <c r="Z258" s="388">
        <f t="shared" si="53"/>
        <v>1.9410760081175642</v>
      </c>
      <c r="AA258" s="43"/>
      <c r="AB258" s="462">
        <f>IF('TAR_Tab 2_Volumina'!C261="storage",1,0)</f>
        <v>0</v>
      </c>
      <c r="AC258" s="389">
        <f t="shared" si="52"/>
        <v>1.9410760081175642</v>
      </c>
      <c r="AD258" s="389">
        <f t="shared" si="54"/>
        <v>2.0716932002211683</v>
      </c>
      <c r="AE258" s="43"/>
      <c r="AF258" s="1027">
        <f t="shared" si="55"/>
        <v>2.0716932002211683</v>
      </c>
      <c r="AG258" s="392">
        <f t="shared" si="56"/>
        <v>2.0720000000000001</v>
      </c>
      <c r="AH258" s="392">
        <f>AG258+'TAR_Tab 14_Overige tarieven'!$AA$14+'TAR_Tab 14_Overige tarieven'!$AA$15</f>
        <v>2.2520000000000002</v>
      </c>
      <c r="AI258" s="43"/>
    </row>
    <row r="259" spans="1:35">
      <c r="A259" s="96">
        <v>300705</v>
      </c>
      <c r="B259" s="1286" t="s">
        <v>800</v>
      </c>
      <c r="C259" s="1022"/>
      <c r="D259" s="1358"/>
      <c r="E259" s="1022"/>
      <c r="F259" s="1032">
        <v>1.2169634562341882</v>
      </c>
      <c r="G259" s="390">
        <f t="shared" si="47"/>
        <v>1.1580624249524536</v>
      </c>
      <c r="H259" s="390">
        <f t="shared" si="48"/>
        <v>1.1851275082767947</v>
      </c>
      <c r="I259" s="387"/>
      <c r="J259" s="388">
        <f t="shared" si="49"/>
        <v>1.1258711328629549</v>
      </c>
      <c r="K259" s="388">
        <f t="shared" si="50"/>
        <v>1.2443838836906345</v>
      </c>
      <c r="L259" s="1316">
        <v>1.1942901072045504</v>
      </c>
      <c r="M259" s="61" t="b">
        <f t="shared" si="59"/>
        <v>1</v>
      </c>
      <c r="N259" s="857">
        <f t="shared" si="51"/>
        <v>1.1942901072045504</v>
      </c>
      <c r="O259" s="15"/>
      <c r="P259" s="445">
        <f t="shared" si="57"/>
        <v>-5.5388618031057317E-2</v>
      </c>
      <c r="Q259" s="445">
        <f t="shared" si="58"/>
        <v>5.7312460570190696E-2</v>
      </c>
      <c r="R259" s="445">
        <f t="shared" si="60"/>
        <v>0</v>
      </c>
      <c r="S259" s="445">
        <f t="shared" si="60"/>
        <v>2.1591037858349096E-3</v>
      </c>
      <c r="T259" s="445">
        <f t="shared" si="60"/>
        <v>5.0004433830169275E-2</v>
      </c>
      <c r="U259" s="445">
        <f t="shared" si="60"/>
        <v>-6.5441100277343163E-3</v>
      </c>
      <c r="V259" s="445">
        <f t="shared" si="60"/>
        <v>-2.4619680800459494E-4</v>
      </c>
      <c r="W259" s="445">
        <f t="shared" si="60"/>
        <v>-2.0356159763022977E-2</v>
      </c>
      <c r="X259" s="445">
        <f t="shared" si="60"/>
        <v>1.6061709357782811E-3</v>
      </c>
      <c r="Y259" s="43"/>
      <c r="Z259" s="388">
        <f t="shared" si="53"/>
        <v>1.2228371916967045</v>
      </c>
      <c r="AA259" s="43"/>
      <c r="AB259" s="462">
        <f>IF('TAR_Tab 2_Volumina'!C262="storage",1,0)</f>
        <v>0</v>
      </c>
      <c r="AC259" s="389">
        <f t="shared" si="52"/>
        <v>1.2228371916967045</v>
      </c>
      <c r="AD259" s="389">
        <f t="shared" si="54"/>
        <v>1.305123284416061</v>
      </c>
      <c r="AE259" s="43"/>
      <c r="AF259" s="1027">
        <f t="shared" si="55"/>
        <v>1.305123284416061</v>
      </c>
      <c r="AG259" s="392">
        <f t="shared" si="56"/>
        <v>1.3049999999999999</v>
      </c>
      <c r="AH259" s="392">
        <f>AG259+'TAR_Tab 14_Overige tarieven'!$AA$14+'TAR_Tab 14_Overige tarieven'!$AA$15</f>
        <v>1.4849999999999999</v>
      </c>
      <c r="AI259" s="43"/>
    </row>
    <row r="260" spans="1:35">
      <c r="A260" s="96">
        <v>300706</v>
      </c>
      <c r="B260" s="1286" t="s">
        <v>180</v>
      </c>
      <c r="C260" s="1022"/>
      <c r="D260" s="1358"/>
      <c r="E260" s="1022"/>
      <c r="F260" s="1032">
        <v>1.2169634562341882</v>
      </c>
      <c r="G260" s="390">
        <f t="shared" si="47"/>
        <v>1.1580624249524536</v>
      </c>
      <c r="H260" s="390">
        <f t="shared" si="48"/>
        <v>1.1851275082767947</v>
      </c>
      <c r="I260" s="387"/>
      <c r="J260" s="388">
        <f t="shared" si="49"/>
        <v>1.1258711328629549</v>
      </c>
      <c r="K260" s="388">
        <f t="shared" si="50"/>
        <v>1.2443838836906345</v>
      </c>
      <c r="L260" s="1316">
        <v>1.1942901072045504</v>
      </c>
      <c r="M260" s="61" t="b">
        <f t="shared" si="59"/>
        <v>1</v>
      </c>
      <c r="N260" s="857">
        <f t="shared" si="51"/>
        <v>1.1942901072045504</v>
      </c>
      <c r="O260" s="15"/>
      <c r="P260" s="445">
        <f t="shared" si="57"/>
        <v>-5.5388618031057317E-2</v>
      </c>
      <c r="Q260" s="445">
        <f t="shared" si="58"/>
        <v>5.7312460570190696E-2</v>
      </c>
      <c r="R260" s="445">
        <f t="shared" si="60"/>
        <v>0</v>
      </c>
      <c r="S260" s="445">
        <f t="shared" si="60"/>
        <v>2.1591037858349096E-3</v>
      </c>
      <c r="T260" s="445">
        <f t="shared" si="60"/>
        <v>5.0004433830169275E-2</v>
      </c>
      <c r="U260" s="445">
        <f t="shared" si="60"/>
        <v>-6.5441100277343163E-3</v>
      </c>
      <c r="V260" s="445">
        <f t="shared" si="60"/>
        <v>-2.4619680800459494E-4</v>
      </c>
      <c r="W260" s="445">
        <f t="shared" si="60"/>
        <v>-2.0356159763022977E-2</v>
      </c>
      <c r="X260" s="445">
        <f t="shared" si="60"/>
        <v>1.6061709357782811E-3</v>
      </c>
      <c r="Y260" s="43"/>
      <c r="Z260" s="388">
        <f t="shared" si="53"/>
        <v>1.2228371916967045</v>
      </c>
      <c r="AA260" s="43"/>
      <c r="AB260" s="462">
        <f>IF('TAR_Tab 2_Volumina'!C263="storage",1,0)</f>
        <v>0</v>
      </c>
      <c r="AC260" s="389">
        <f t="shared" si="52"/>
        <v>1.2228371916967045</v>
      </c>
      <c r="AD260" s="389">
        <f t="shared" si="54"/>
        <v>1.305123284416061</v>
      </c>
      <c r="AE260" s="43"/>
      <c r="AF260" s="1027">
        <f t="shared" si="55"/>
        <v>1.305123284416061</v>
      </c>
      <c r="AG260" s="392">
        <f t="shared" si="56"/>
        <v>1.3049999999999999</v>
      </c>
      <c r="AH260" s="392">
        <f>AG260+'TAR_Tab 14_Overige tarieven'!$AA$14+'TAR_Tab 14_Overige tarieven'!$AA$15</f>
        <v>1.4849999999999999</v>
      </c>
      <c r="AI260" s="43"/>
    </row>
    <row r="261" spans="1:35">
      <c r="A261" s="96">
        <v>300710</v>
      </c>
      <c r="B261" s="1286" t="s">
        <v>181</v>
      </c>
      <c r="C261" s="1022"/>
      <c r="D261" s="1358"/>
      <c r="E261" s="1022"/>
      <c r="F261" s="1032">
        <v>1.017912165429776</v>
      </c>
      <c r="G261" s="390">
        <f t="shared" si="47"/>
        <v>0.96864521662297487</v>
      </c>
      <c r="H261" s="390">
        <f t="shared" si="48"/>
        <v>0.99128342932614733</v>
      </c>
      <c r="I261" s="387"/>
      <c r="J261" s="388">
        <f t="shared" si="49"/>
        <v>0.9417192578598399</v>
      </c>
      <c r="K261" s="388">
        <f t="shared" si="50"/>
        <v>1.0408476007924548</v>
      </c>
      <c r="L261" s="1316">
        <v>0.9989473578260033</v>
      </c>
      <c r="M261" s="61" t="b">
        <f t="shared" ref="M261:M309" si="61">IF(L261&gt;0,AND(L261&gt;=J261,L261&lt;=K261),"")</f>
        <v>1</v>
      </c>
      <c r="N261" s="857">
        <f t="shared" si="51"/>
        <v>0.9989473578260033</v>
      </c>
      <c r="O261" s="15"/>
      <c r="P261" s="445">
        <f t="shared" si="57"/>
        <v>-4.6329039570853457E-2</v>
      </c>
      <c r="Q261" s="445">
        <f t="shared" si="58"/>
        <v>4.7938210918541259E-2</v>
      </c>
      <c r="R261" s="445">
        <f t="shared" si="60"/>
        <v>0</v>
      </c>
      <c r="S261" s="445">
        <f t="shared" si="60"/>
        <v>1.805952347022578E-3</v>
      </c>
      <c r="T261" s="445">
        <f t="shared" si="60"/>
        <v>4.1825513543902598E-2</v>
      </c>
      <c r="U261" s="445">
        <f t="shared" si="60"/>
        <v>-5.4737298601839589E-3</v>
      </c>
      <c r="V261" s="445">
        <f t="shared" si="60"/>
        <v>-2.0592789756673693E-4</v>
      </c>
      <c r="W261" s="445">
        <f t="shared" si="60"/>
        <v>-1.702662685396673E-2</v>
      </c>
      <c r="X261" s="445">
        <f t="shared" si="60"/>
        <v>1.3434593511522975E-3</v>
      </c>
      <c r="Y261" s="43"/>
      <c r="Z261" s="388">
        <f t="shared" si="53"/>
        <v>1.0228251698040511</v>
      </c>
      <c r="AA261" s="43"/>
      <c r="AB261" s="462">
        <f>IF('TAR_Tab 2_Volumina'!C264="storage",1,0)</f>
        <v>0</v>
      </c>
      <c r="AC261" s="389">
        <f t="shared" si="52"/>
        <v>1.0228251698040511</v>
      </c>
      <c r="AD261" s="389">
        <f t="shared" si="54"/>
        <v>1.0916522281644601</v>
      </c>
      <c r="AE261" s="43"/>
      <c r="AF261" s="1027">
        <f t="shared" si="55"/>
        <v>1.0916522281644601</v>
      </c>
      <c r="AG261" s="392">
        <f t="shared" si="56"/>
        <v>1.0920000000000001</v>
      </c>
      <c r="AH261" s="392">
        <f>AG261+'TAR_Tab 14_Overige tarieven'!$AA$14+'TAR_Tab 14_Overige tarieven'!$AA$15</f>
        <v>1.272</v>
      </c>
      <c r="AI261" s="43"/>
    </row>
    <row r="262" spans="1:35">
      <c r="A262" s="96">
        <v>300711</v>
      </c>
      <c r="B262" s="1286" t="s">
        <v>182</v>
      </c>
      <c r="C262" s="1022"/>
      <c r="D262" s="1358"/>
      <c r="E262" s="1022"/>
      <c r="F262" s="1032">
        <v>1.2453120226023722</v>
      </c>
      <c r="G262" s="390">
        <f t="shared" si="47"/>
        <v>1.1850389207084173</v>
      </c>
      <c r="H262" s="390">
        <f t="shared" si="48"/>
        <v>1.2127344718639412</v>
      </c>
      <c r="I262" s="387"/>
      <c r="J262" s="388">
        <f t="shared" si="49"/>
        <v>1.1520977482707442</v>
      </c>
      <c r="K262" s="388">
        <f t="shared" si="50"/>
        <v>1.2733711954571383</v>
      </c>
      <c r="L262" s="1316">
        <v>1.1520977482707442</v>
      </c>
      <c r="M262" s="61" t="b">
        <f t="shared" si="61"/>
        <v>1</v>
      </c>
      <c r="N262" s="857">
        <f t="shared" si="51"/>
        <v>1.1520977482707442</v>
      </c>
      <c r="O262" s="15"/>
      <c r="P262" s="445">
        <f t="shared" si="57"/>
        <v>-5.3431826763411322E-2</v>
      </c>
      <c r="Q262" s="445">
        <f t="shared" si="58"/>
        <v>5.5287703023285104E-2</v>
      </c>
      <c r="R262" s="445">
        <f t="shared" si="60"/>
        <v>0</v>
      </c>
      <c r="S262" s="445">
        <f t="shared" si="60"/>
        <v>2.0828261030861875E-3</v>
      </c>
      <c r="T262" s="445">
        <f t="shared" si="60"/>
        <v>4.8237857177045484E-2</v>
      </c>
      <c r="U262" s="445">
        <f t="shared" si="60"/>
        <v>-6.312917089329447E-3</v>
      </c>
      <c r="V262" s="445">
        <f t="shared" si="60"/>
        <v>-2.3749906862868957E-4</v>
      </c>
      <c r="W262" s="445">
        <f t="shared" si="60"/>
        <v>-1.9637009203159663E-2</v>
      </c>
      <c r="X262" s="445">
        <f t="shared" si="60"/>
        <v>1.5494274860732272E-3</v>
      </c>
      <c r="Y262" s="43"/>
      <c r="Z262" s="388">
        <f t="shared" si="53"/>
        <v>1.179636309935705</v>
      </c>
      <c r="AA262" s="43"/>
      <c r="AB262" s="462">
        <f>IF('TAR_Tab 2_Volumina'!C265="storage",1,0)</f>
        <v>0</v>
      </c>
      <c r="AC262" s="389">
        <f t="shared" si="52"/>
        <v>1.179636309935705</v>
      </c>
      <c r="AD262" s="389">
        <f t="shared" si="54"/>
        <v>1.2590153666356456</v>
      </c>
      <c r="AE262" s="43"/>
      <c r="AF262" s="1027">
        <f t="shared" si="55"/>
        <v>1.2590153666356456</v>
      </c>
      <c r="AG262" s="392">
        <f t="shared" si="56"/>
        <v>1.2589999999999999</v>
      </c>
      <c r="AH262" s="392">
        <f>AG262+'TAR_Tab 14_Overige tarieven'!$AA$14+'TAR_Tab 14_Overige tarieven'!$AA$15</f>
        <v>1.4389999999999998</v>
      </c>
      <c r="AI262" s="43"/>
    </row>
    <row r="263" spans="1:35">
      <c r="A263" s="96">
        <v>300712</v>
      </c>
      <c r="B263" s="1286" t="s">
        <v>183</v>
      </c>
      <c r="C263" s="1022"/>
      <c r="D263" s="1358"/>
      <c r="E263" s="1022"/>
      <c r="F263" s="1032">
        <v>1.6158682829864932</v>
      </c>
      <c r="G263" s="390">
        <f t="shared" ref="G263:G326" si="62">F263*$G$5</f>
        <v>1.537660258089947</v>
      </c>
      <c r="H263" s="390">
        <f t="shared" ref="H263:H326" si="63">G263*$H$5</f>
        <v>1.5735969244673584</v>
      </c>
      <c r="I263" s="387"/>
      <c r="J263" s="388">
        <f t="shared" ref="J263:J326" si="64">H263*$J$5</f>
        <v>1.4949170782439904</v>
      </c>
      <c r="K263" s="388">
        <f t="shared" ref="K263:K326" si="65">H263*$K$5</f>
        <v>1.6522767706907264</v>
      </c>
      <c r="L263" s="1316">
        <v>1.585762904408039</v>
      </c>
      <c r="M263" s="61" t="b">
        <f t="shared" si="61"/>
        <v>1</v>
      </c>
      <c r="N263" s="857">
        <f t="shared" ref="N263:N326" si="66">IF(L263&gt;0,L263,H263)</f>
        <v>1.585762904408039</v>
      </c>
      <c r="O263" s="15"/>
      <c r="P263" s="445">
        <f t="shared" si="57"/>
        <v>-7.3544288167693428E-2</v>
      </c>
      <c r="Q263" s="445">
        <f t="shared" si="58"/>
        <v>7.6098741322815619E-2</v>
      </c>
      <c r="R263" s="445">
        <f t="shared" si="60"/>
        <v>0</v>
      </c>
      <c r="S263" s="445">
        <f t="shared" si="60"/>
        <v>2.8668299851851223E-3</v>
      </c>
      <c r="T263" s="445">
        <f t="shared" si="60"/>
        <v>6.639523826368568E-2</v>
      </c>
      <c r="U263" s="445">
        <f t="shared" si="60"/>
        <v>-8.6891843629483961E-3</v>
      </c>
      <c r="V263" s="445">
        <f t="shared" si="60"/>
        <v>-3.2689692643538568E-4</v>
      </c>
      <c r="W263" s="445">
        <f t="shared" si="60"/>
        <v>-2.7028644743581264E-2</v>
      </c>
      <c r="X263" s="445">
        <f t="shared" si="60"/>
        <v>2.1326529230467029E-3</v>
      </c>
      <c r="Y263" s="43"/>
      <c r="Z263" s="388">
        <f t="shared" si="53"/>
        <v>1.6236673527021137</v>
      </c>
      <c r="AA263" s="43"/>
      <c r="AB263" s="462">
        <f>IF('TAR_Tab 2_Volumina'!C266="storage",1,0)</f>
        <v>0</v>
      </c>
      <c r="AC263" s="389">
        <f t="shared" ref="AC263:AC326" si="67">IF(AB263=1,Z263*$AC$5,Z263)</f>
        <v>1.6236673527021137</v>
      </c>
      <c r="AD263" s="389">
        <f t="shared" si="54"/>
        <v>1.7329257586755689</v>
      </c>
      <c r="AE263" s="43"/>
      <c r="AF263" s="1027">
        <f t="shared" si="55"/>
        <v>1.7329257586755689</v>
      </c>
      <c r="AG263" s="392">
        <f t="shared" si="56"/>
        <v>1.7330000000000001</v>
      </c>
      <c r="AH263" s="392">
        <f>AG263+'TAR_Tab 14_Overige tarieven'!$AA$14+'TAR_Tab 14_Overige tarieven'!$AA$15</f>
        <v>1.913</v>
      </c>
      <c r="AI263" s="43"/>
    </row>
    <row r="264" spans="1:35">
      <c r="A264" s="96">
        <v>300713</v>
      </c>
      <c r="B264" s="1286" t="s">
        <v>184</v>
      </c>
      <c r="C264" s="1022"/>
      <c r="D264" s="1358"/>
      <c r="E264" s="1022"/>
      <c r="F264" s="1032">
        <v>1.249361817797827</v>
      </c>
      <c r="G264" s="390">
        <f t="shared" si="62"/>
        <v>1.188892705816412</v>
      </c>
      <c r="H264" s="390">
        <f t="shared" si="63"/>
        <v>1.2166783238049621</v>
      </c>
      <c r="I264" s="387"/>
      <c r="J264" s="388">
        <f t="shared" si="64"/>
        <v>1.1558444076147139</v>
      </c>
      <c r="K264" s="388">
        <f t="shared" si="65"/>
        <v>1.2775122399952104</v>
      </c>
      <c r="L264" s="1316">
        <v>1.2260848521550873</v>
      </c>
      <c r="M264" s="61" t="b">
        <f t="shared" si="61"/>
        <v>1</v>
      </c>
      <c r="N264" s="857">
        <f t="shared" si="66"/>
        <v>1.2260848521550873</v>
      </c>
      <c r="O264" s="15"/>
      <c r="P264" s="445">
        <f t="shared" si="57"/>
        <v>-5.686319022489577E-2</v>
      </c>
      <c r="Q264" s="445">
        <f t="shared" si="58"/>
        <v>5.8838249869896261E-2</v>
      </c>
      <c r="R264" s="445">
        <f t="shared" si="60"/>
        <v>0</v>
      </c>
      <c r="S264" s="445">
        <f t="shared" si="60"/>
        <v>2.216584086289749E-3</v>
      </c>
      <c r="T264" s="445">
        <f t="shared" si="60"/>
        <v>5.133566667756146E-2</v>
      </c>
      <c r="U264" s="445">
        <f t="shared" si="60"/>
        <v>-6.7183292630816514E-3</v>
      </c>
      <c r="V264" s="445">
        <f t="shared" si="60"/>
        <v>-2.5275113234415149E-4</v>
      </c>
      <c r="W264" s="445">
        <f t="shared" si="60"/>
        <v>-2.0898087477179989E-2</v>
      </c>
      <c r="X264" s="445">
        <f t="shared" si="60"/>
        <v>1.6489308941351069E-3</v>
      </c>
      <c r="Y264" s="43"/>
      <c r="Z264" s="388">
        <f t="shared" ref="Z264:Z327" si="68">N264+SUM(P264:X264)</f>
        <v>1.2553919255854684</v>
      </c>
      <c r="AA264" s="43"/>
      <c r="AB264" s="462">
        <f>IF('TAR_Tab 2_Volumina'!C267="storage",1,0)</f>
        <v>0</v>
      </c>
      <c r="AC264" s="389">
        <f t="shared" si="67"/>
        <v>1.2553919255854684</v>
      </c>
      <c r="AD264" s="389">
        <f t="shared" ref="AD264:AD327" si="69">IF(AB264=0,AC264*(1+$AD$5),AC264)</f>
        <v>1.3398686630361223</v>
      </c>
      <c r="AE264" s="43"/>
      <c r="AF264" s="1027">
        <f t="shared" ref="AF264:AF327" si="70">AD264</f>
        <v>1.3398686630361223</v>
      </c>
      <c r="AG264" s="392">
        <f t="shared" ref="AG264:AG327" si="71">ROUND(AD264,3)</f>
        <v>1.34</v>
      </c>
      <c r="AH264" s="392">
        <f>AG264+'TAR_Tab 14_Overige tarieven'!$AA$14+'TAR_Tab 14_Overige tarieven'!$AA$15</f>
        <v>1.52</v>
      </c>
      <c r="AI264" s="43"/>
    </row>
    <row r="265" spans="1:35">
      <c r="A265" s="96">
        <v>300716</v>
      </c>
      <c r="B265" s="1286" t="s">
        <v>801</v>
      </c>
      <c r="C265" s="1022"/>
      <c r="D265" s="1358"/>
      <c r="E265" s="1022"/>
      <c r="F265" s="1032">
        <v>1.2306114044902512</v>
      </c>
      <c r="G265" s="390">
        <f t="shared" si="62"/>
        <v>1.1710498125129229</v>
      </c>
      <c r="H265" s="390">
        <f t="shared" si="63"/>
        <v>1.1984184241436109</v>
      </c>
      <c r="I265" s="387"/>
      <c r="J265" s="388">
        <f t="shared" si="64"/>
        <v>1.1384975029364304</v>
      </c>
      <c r="K265" s="388">
        <f t="shared" si="65"/>
        <v>1.2583393453507914</v>
      </c>
      <c r="L265" s="1316">
        <v>1.2076837793829194</v>
      </c>
      <c r="M265" s="61" t="b">
        <f t="shared" si="61"/>
        <v>1</v>
      </c>
      <c r="N265" s="857">
        <f t="shared" si="66"/>
        <v>1.2076837793829194</v>
      </c>
      <c r="O265" s="15"/>
      <c r="P265" s="445">
        <f t="shared" si="57"/>
        <v>-5.6009787868976618E-2</v>
      </c>
      <c r="Q265" s="445">
        <f t="shared" si="58"/>
        <v>5.7955205832821724E-2</v>
      </c>
      <c r="R265" s="445">
        <f t="shared" si="60"/>
        <v>0</v>
      </c>
      <c r="S265" s="445">
        <f t="shared" si="60"/>
        <v>2.1833176080311234E-3</v>
      </c>
      <c r="T265" s="445">
        <f t="shared" si="60"/>
        <v>5.0565221355868439E-2</v>
      </c>
      <c r="U265" s="445">
        <f t="shared" si="60"/>
        <v>-6.6175006251125452E-3</v>
      </c>
      <c r="V265" s="445">
        <f t="shared" si="60"/>
        <v>-2.4895784514111845E-4</v>
      </c>
      <c r="W265" s="445">
        <f t="shared" si="60"/>
        <v>-2.0584449128422316E-2</v>
      </c>
      <c r="X265" s="445">
        <f t="shared" si="60"/>
        <v>1.6241837509615134E-3</v>
      </c>
      <c r="Y265" s="43"/>
      <c r="Z265" s="388">
        <f t="shared" si="68"/>
        <v>1.2365510124629495</v>
      </c>
      <c r="AA265" s="43"/>
      <c r="AB265" s="462">
        <f>IF('TAR_Tab 2_Volumina'!C268="storage",1,0)</f>
        <v>0</v>
      </c>
      <c r="AC265" s="389">
        <f t="shared" si="67"/>
        <v>1.2365510124629495</v>
      </c>
      <c r="AD265" s="389">
        <f t="shared" si="69"/>
        <v>1.3197599236366107</v>
      </c>
      <c r="AE265" s="43"/>
      <c r="AF265" s="1027">
        <f t="shared" si="70"/>
        <v>1.3197599236366107</v>
      </c>
      <c r="AG265" s="392">
        <f t="shared" si="71"/>
        <v>1.32</v>
      </c>
      <c r="AH265" s="392">
        <f>AG265+'TAR_Tab 14_Overige tarieven'!$AA$14+'TAR_Tab 14_Overige tarieven'!$AA$15</f>
        <v>1.5</v>
      </c>
      <c r="AI265" s="43"/>
    </row>
    <row r="266" spans="1:35">
      <c r="A266" s="96">
        <v>300719</v>
      </c>
      <c r="B266" s="1286" t="s">
        <v>185</v>
      </c>
      <c r="C266" s="1022"/>
      <c r="D266" s="1358"/>
      <c r="E266" s="1022"/>
      <c r="F266" s="1032">
        <v>1.017912165429776</v>
      </c>
      <c r="G266" s="390">
        <f t="shared" si="62"/>
        <v>0.96864521662297487</v>
      </c>
      <c r="H266" s="390">
        <f t="shared" si="63"/>
        <v>0.99128342932614733</v>
      </c>
      <c r="I266" s="387"/>
      <c r="J266" s="388">
        <f t="shared" si="64"/>
        <v>0.9417192578598399</v>
      </c>
      <c r="K266" s="388">
        <f t="shared" si="65"/>
        <v>1.0408476007924548</v>
      </c>
      <c r="L266" s="1316">
        <v>0.9989473578260033</v>
      </c>
      <c r="M266" s="61" t="b">
        <f t="shared" si="61"/>
        <v>1</v>
      </c>
      <c r="N266" s="857">
        <f t="shared" si="66"/>
        <v>0.9989473578260033</v>
      </c>
      <c r="O266" s="15"/>
      <c r="P266" s="445">
        <f t="shared" ref="P266:P329" si="72">$N266*P$5</f>
        <v>-4.6329039570853457E-2</v>
      </c>
      <c r="Q266" s="445">
        <f t="shared" si="58"/>
        <v>4.7938210918541259E-2</v>
      </c>
      <c r="R266" s="445">
        <f t="shared" si="60"/>
        <v>0</v>
      </c>
      <c r="S266" s="445">
        <f t="shared" si="60"/>
        <v>1.805952347022578E-3</v>
      </c>
      <c r="T266" s="445">
        <f t="shared" si="60"/>
        <v>4.1825513543902598E-2</v>
      </c>
      <c r="U266" s="445">
        <f t="shared" si="60"/>
        <v>-5.4737298601839589E-3</v>
      </c>
      <c r="V266" s="445">
        <f t="shared" si="60"/>
        <v>-2.0592789756673693E-4</v>
      </c>
      <c r="W266" s="445">
        <f t="shared" si="60"/>
        <v>-1.702662685396673E-2</v>
      </c>
      <c r="X266" s="445">
        <f t="shared" si="60"/>
        <v>1.3434593511522975E-3</v>
      </c>
      <c r="Y266" s="43"/>
      <c r="Z266" s="388">
        <f t="shared" si="68"/>
        <v>1.0228251698040511</v>
      </c>
      <c r="AA266" s="43"/>
      <c r="AB266" s="462">
        <f>IF('TAR_Tab 2_Volumina'!C269="storage",1,0)</f>
        <v>0</v>
      </c>
      <c r="AC266" s="389">
        <f t="shared" si="67"/>
        <v>1.0228251698040511</v>
      </c>
      <c r="AD266" s="389">
        <f t="shared" si="69"/>
        <v>1.0916522281644601</v>
      </c>
      <c r="AE266" s="43"/>
      <c r="AF266" s="1027">
        <f t="shared" si="70"/>
        <v>1.0916522281644601</v>
      </c>
      <c r="AG266" s="392">
        <f t="shared" si="71"/>
        <v>1.0920000000000001</v>
      </c>
      <c r="AH266" s="392">
        <f>AG266+'TAR_Tab 14_Overige tarieven'!$AA$14+'TAR_Tab 14_Overige tarieven'!$AA$15</f>
        <v>1.272</v>
      </c>
      <c r="AI266" s="43"/>
    </row>
    <row r="267" spans="1:35">
      <c r="A267" s="96">
        <v>300722</v>
      </c>
      <c r="B267" s="1286" t="s">
        <v>186</v>
      </c>
      <c r="C267" s="1022"/>
      <c r="D267" s="1358"/>
      <c r="E267" s="1022"/>
      <c r="F267" s="1032">
        <v>1.8809153399571279</v>
      </c>
      <c r="G267" s="390">
        <f t="shared" si="62"/>
        <v>1.789879037503203</v>
      </c>
      <c r="H267" s="390">
        <f t="shared" si="63"/>
        <v>1.8317103103661532</v>
      </c>
      <c r="I267" s="387"/>
      <c r="J267" s="388">
        <f t="shared" si="64"/>
        <v>1.7401247948478453</v>
      </c>
      <c r="K267" s="388">
        <f t="shared" si="65"/>
        <v>1.923295825884461</v>
      </c>
      <c r="L267" s="1316">
        <v>1.8458718472543849</v>
      </c>
      <c r="M267" s="61" t="b">
        <f t="shared" si="61"/>
        <v>1</v>
      </c>
      <c r="N267" s="857">
        <f t="shared" si="66"/>
        <v>1.8458718472543849</v>
      </c>
      <c r="O267" s="15"/>
      <c r="P267" s="445">
        <f t="shared" si="72"/>
        <v>-8.5607584007513032E-2</v>
      </c>
      <c r="Q267" s="445">
        <f t="shared" si="58"/>
        <v>8.8581038078776209E-2</v>
      </c>
      <c r="R267" s="445">
        <f t="shared" si="58"/>
        <v>0</v>
      </c>
      <c r="S267" s="445">
        <f t="shared" si="58"/>
        <v>3.3370693347712895E-3</v>
      </c>
      <c r="T267" s="445">
        <f t="shared" si="58"/>
        <v>7.728589233737608E-2</v>
      </c>
      <c r="U267" s="445">
        <f t="shared" si="58"/>
        <v>-1.0114450745811103E-2</v>
      </c>
      <c r="V267" s="445">
        <f t="shared" si="58"/>
        <v>-3.8051705698483181E-4</v>
      </c>
      <c r="W267" s="445">
        <f t="shared" si="58"/>
        <v>-3.1462089485717409E-2</v>
      </c>
      <c r="X267" s="445">
        <f t="shared" si="58"/>
        <v>2.482466943623079E-3</v>
      </c>
      <c r="Y267" s="43"/>
      <c r="Z267" s="388">
        <f t="shared" si="68"/>
        <v>1.8899936726529052</v>
      </c>
      <c r="AA267" s="43"/>
      <c r="AB267" s="462">
        <f>IF('TAR_Tab 2_Volumina'!C270="storage",1,0)</f>
        <v>0</v>
      </c>
      <c r="AC267" s="389">
        <f t="shared" si="67"/>
        <v>1.8899936726529052</v>
      </c>
      <c r="AD267" s="389">
        <f t="shared" si="69"/>
        <v>2.0171734768352816</v>
      </c>
      <c r="AE267" s="43"/>
      <c r="AF267" s="1027">
        <f t="shared" si="70"/>
        <v>2.0171734768352816</v>
      </c>
      <c r="AG267" s="392">
        <f t="shared" si="71"/>
        <v>2.0169999999999999</v>
      </c>
      <c r="AH267" s="392">
        <f>AG267+'TAR_Tab 14_Overige tarieven'!$AA$14+'TAR_Tab 14_Overige tarieven'!$AA$15</f>
        <v>2.1970000000000001</v>
      </c>
      <c r="AI267" s="43"/>
    </row>
    <row r="268" spans="1:35">
      <c r="A268" s="96">
        <v>300725</v>
      </c>
      <c r="B268" s="1286" t="s">
        <v>371</v>
      </c>
      <c r="C268" s="1022"/>
      <c r="D268" s="1358"/>
      <c r="E268" s="1022"/>
      <c r="F268" s="1032">
        <v>1.8809153399571279</v>
      </c>
      <c r="G268" s="390">
        <f t="shared" si="62"/>
        <v>1.789879037503203</v>
      </c>
      <c r="H268" s="390">
        <f t="shared" si="63"/>
        <v>1.8317103103661532</v>
      </c>
      <c r="I268" s="387"/>
      <c r="J268" s="388">
        <f t="shared" si="64"/>
        <v>1.7401247948478453</v>
      </c>
      <c r="K268" s="388">
        <f t="shared" si="65"/>
        <v>1.923295825884461</v>
      </c>
      <c r="L268" s="1316">
        <v>1.8458718472543849</v>
      </c>
      <c r="M268" s="61" t="b">
        <f t="shared" si="61"/>
        <v>1</v>
      </c>
      <c r="N268" s="857">
        <f t="shared" si="66"/>
        <v>1.8458718472543849</v>
      </c>
      <c r="O268" s="15"/>
      <c r="P268" s="445">
        <f t="shared" si="72"/>
        <v>-8.5607584007513032E-2</v>
      </c>
      <c r="Q268" s="445">
        <f t="shared" si="58"/>
        <v>8.8581038078776209E-2</v>
      </c>
      <c r="R268" s="445">
        <f t="shared" si="58"/>
        <v>0</v>
      </c>
      <c r="S268" s="445">
        <f t="shared" si="58"/>
        <v>3.3370693347712895E-3</v>
      </c>
      <c r="T268" s="445">
        <f t="shared" si="58"/>
        <v>7.728589233737608E-2</v>
      </c>
      <c r="U268" s="445">
        <f t="shared" si="58"/>
        <v>-1.0114450745811103E-2</v>
      </c>
      <c r="V268" s="445">
        <f t="shared" si="58"/>
        <v>-3.8051705698483181E-4</v>
      </c>
      <c r="W268" s="445">
        <f t="shared" si="58"/>
        <v>-3.1462089485717409E-2</v>
      </c>
      <c r="X268" s="445">
        <f t="shared" si="58"/>
        <v>2.482466943623079E-3</v>
      </c>
      <c r="Y268" s="43"/>
      <c r="Z268" s="388">
        <f t="shared" si="68"/>
        <v>1.8899936726529052</v>
      </c>
      <c r="AA268" s="43"/>
      <c r="AB268" s="462">
        <f>IF('TAR_Tab 2_Volumina'!C271="storage",1,0)</f>
        <v>0</v>
      </c>
      <c r="AC268" s="389">
        <f t="shared" si="67"/>
        <v>1.8899936726529052</v>
      </c>
      <c r="AD268" s="389">
        <f t="shared" si="69"/>
        <v>2.0171734768352816</v>
      </c>
      <c r="AE268" s="43"/>
      <c r="AF268" s="1027">
        <f t="shared" si="70"/>
        <v>2.0171734768352816</v>
      </c>
      <c r="AG268" s="392">
        <f t="shared" si="71"/>
        <v>2.0169999999999999</v>
      </c>
      <c r="AH268" s="392">
        <f>AG268+'TAR_Tab 14_Overige tarieven'!$AA$14+'TAR_Tab 14_Overige tarieven'!$AA$15</f>
        <v>2.1970000000000001</v>
      </c>
      <c r="AI268" s="43"/>
    </row>
    <row r="269" spans="1:35">
      <c r="A269" s="96">
        <v>300727</v>
      </c>
      <c r="B269" s="1286" t="s">
        <v>296</v>
      </c>
      <c r="C269" s="1022"/>
      <c r="D269" s="1358"/>
      <c r="E269" s="1022"/>
      <c r="F269" s="1032">
        <v>1.6468578943642842</v>
      </c>
      <c r="G269" s="390">
        <f t="shared" si="62"/>
        <v>1.5671499722770528</v>
      </c>
      <c r="H269" s="390">
        <f t="shared" si="63"/>
        <v>1.6037758429274702</v>
      </c>
      <c r="I269" s="387"/>
      <c r="J269" s="388">
        <f t="shared" si="64"/>
        <v>1.5235870507810967</v>
      </c>
      <c r="K269" s="388">
        <f t="shared" si="65"/>
        <v>1.6839646350738438</v>
      </c>
      <c r="L269" s="1316">
        <v>1.6161751457165299</v>
      </c>
      <c r="M269" s="61" t="b">
        <f t="shared" si="61"/>
        <v>1</v>
      </c>
      <c r="N269" s="857">
        <f t="shared" si="66"/>
        <v>1.6161751457165299</v>
      </c>
      <c r="O269" s="15"/>
      <c r="P269" s="445">
        <f t="shared" si="72"/>
        <v>-7.4954742802746208E-2</v>
      </c>
      <c r="Q269" s="445">
        <f t="shared" si="58"/>
        <v>7.755818603422146E-2</v>
      </c>
      <c r="R269" s="445">
        <f t="shared" si="58"/>
        <v>0</v>
      </c>
      <c r="S269" s="445">
        <f t="shared" si="58"/>
        <v>2.9218109190041119E-3</v>
      </c>
      <c r="T269" s="445">
        <f t="shared" si="58"/>
        <v>6.7668586254231416E-2</v>
      </c>
      <c r="U269" s="445">
        <f t="shared" si="58"/>
        <v>-8.8558281726158934E-3</v>
      </c>
      <c r="V269" s="445">
        <f t="shared" si="58"/>
        <v>-3.331662547076775E-4</v>
      </c>
      <c r="W269" s="445">
        <f t="shared" si="58"/>
        <v>-2.7547008279453049E-2</v>
      </c>
      <c r="X269" s="445">
        <f t="shared" si="58"/>
        <v>2.1735535867856916E-3</v>
      </c>
      <c r="Y269" s="43"/>
      <c r="Z269" s="388">
        <f t="shared" si="68"/>
        <v>1.6548065370012497</v>
      </c>
      <c r="AA269" s="43"/>
      <c r="AB269" s="462">
        <f>IF('TAR_Tab 2_Volumina'!C272="storage",1,0)</f>
        <v>0</v>
      </c>
      <c r="AC269" s="389">
        <f t="shared" si="67"/>
        <v>1.6548065370012497</v>
      </c>
      <c r="AD269" s="389">
        <f t="shared" si="69"/>
        <v>1.7661603337788465</v>
      </c>
      <c r="AE269" s="43"/>
      <c r="AF269" s="1027">
        <f t="shared" si="70"/>
        <v>1.7661603337788465</v>
      </c>
      <c r="AG269" s="392">
        <f t="shared" si="71"/>
        <v>1.766</v>
      </c>
      <c r="AH269" s="392">
        <f>AG269+'TAR_Tab 14_Overige tarieven'!$AA$14+'TAR_Tab 14_Overige tarieven'!$AA$15</f>
        <v>1.946</v>
      </c>
      <c r="AI269" s="43"/>
    </row>
    <row r="270" spans="1:35">
      <c r="A270" s="96">
        <v>300728</v>
      </c>
      <c r="B270" s="1286" t="s">
        <v>187</v>
      </c>
      <c r="C270" s="1022"/>
      <c r="D270" s="1358"/>
      <c r="E270" s="1022"/>
      <c r="F270" s="1032">
        <v>0.96891639322343137</v>
      </c>
      <c r="G270" s="390">
        <f t="shared" si="62"/>
        <v>0.92202083979141725</v>
      </c>
      <c r="H270" s="390">
        <f t="shared" si="63"/>
        <v>0.94356939392636241</v>
      </c>
      <c r="I270" s="387"/>
      <c r="J270" s="388">
        <f t="shared" si="64"/>
        <v>0.89639092423004429</v>
      </c>
      <c r="K270" s="388">
        <f t="shared" si="65"/>
        <v>0.99074786362268052</v>
      </c>
      <c r="L270" s="1316">
        <v>0.95086442999351406</v>
      </c>
      <c r="M270" s="61" t="b">
        <f t="shared" si="61"/>
        <v>1</v>
      </c>
      <c r="N270" s="857">
        <f t="shared" si="66"/>
        <v>0.95086442999351406</v>
      </c>
      <c r="O270" s="15"/>
      <c r="P270" s="445">
        <f t="shared" si="72"/>
        <v>-4.4099056330213167E-2</v>
      </c>
      <c r="Q270" s="445">
        <f t="shared" si="58"/>
        <v>4.5630772475507356E-2</v>
      </c>
      <c r="R270" s="445">
        <f t="shared" si="58"/>
        <v>0</v>
      </c>
      <c r="S270" s="445">
        <f t="shared" si="58"/>
        <v>1.7190253676472281E-3</v>
      </c>
      <c r="T270" s="445">
        <f t="shared" si="58"/>
        <v>3.9812301202398453E-2</v>
      </c>
      <c r="U270" s="445">
        <f t="shared" si="58"/>
        <v>-5.2102595623951435E-3</v>
      </c>
      <c r="V270" s="445">
        <f t="shared" si="58"/>
        <v>-1.96015847487395E-4</v>
      </c>
      <c r="W270" s="445">
        <f t="shared" si="58"/>
        <v>-1.6207074087911361E-2</v>
      </c>
      <c r="X270" s="445">
        <f t="shared" si="58"/>
        <v>1.2787938224622557E-3</v>
      </c>
      <c r="Y270" s="43"/>
      <c r="Z270" s="388">
        <f t="shared" si="68"/>
        <v>0.97359291703352224</v>
      </c>
      <c r="AA270" s="43"/>
      <c r="AB270" s="462">
        <f>IF('TAR_Tab 2_Volumina'!C273="storage",1,0)</f>
        <v>0</v>
      </c>
      <c r="AC270" s="389">
        <f t="shared" si="67"/>
        <v>0.97359291703352224</v>
      </c>
      <c r="AD270" s="389">
        <f t="shared" si="69"/>
        <v>1.039107081622163</v>
      </c>
      <c r="AE270" s="43"/>
      <c r="AF270" s="1027">
        <f t="shared" si="70"/>
        <v>1.039107081622163</v>
      </c>
      <c r="AG270" s="392">
        <f t="shared" si="71"/>
        <v>1.0389999999999999</v>
      </c>
      <c r="AH270" s="392">
        <f>AG270+'TAR_Tab 14_Overige tarieven'!$AA$14+'TAR_Tab 14_Overige tarieven'!$AA$15</f>
        <v>1.2189999999999999</v>
      </c>
      <c r="AI270" s="43"/>
    </row>
    <row r="271" spans="1:35">
      <c r="A271" s="96">
        <v>300729</v>
      </c>
      <c r="B271" s="1286" t="s">
        <v>802</v>
      </c>
      <c r="C271" s="1022"/>
      <c r="D271" s="1358"/>
      <c r="E271" s="1022"/>
      <c r="F271" s="1032">
        <v>1.159886611128742</v>
      </c>
      <c r="G271" s="390">
        <f t="shared" si="62"/>
        <v>1.103748099150111</v>
      </c>
      <c r="H271" s="390">
        <f t="shared" si="63"/>
        <v>1.1295438020663915</v>
      </c>
      <c r="I271" s="387"/>
      <c r="J271" s="388">
        <f t="shared" si="64"/>
        <v>1.0730666119630718</v>
      </c>
      <c r="K271" s="388">
        <f t="shared" si="65"/>
        <v>1.1860209921697111</v>
      </c>
      <c r="L271" s="1316">
        <v>1.1520977482707442</v>
      </c>
      <c r="M271" s="61" t="b">
        <f t="shared" si="61"/>
        <v>1</v>
      </c>
      <c r="N271" s="857">
        <f t="shared" si="66"/>
        <v>1.1520977482707442</v>
      </c>
      <c r="O271" s="15"/>
      <c r="P271" s="445">
        <f t="shared" si="72"/>
        <v>-5.3431826763411322E-2</v>
      </c>
      <c r="Q271" s="445">
        <f t="shared" si="58"/>
        <v>5.5287703023285104E-2</v>
      </c>
      <c r="R271" s="445">
        <f t="shared" si="58"/>
        <v>0</v>
      </c>
      <c r="S271" s="445">
        <f t="shared" si="58"/>
        <v>2.0828261030861875E-3</v>
      </c>
      <c r="T271" s="445">
        <f t="shared" si="58"/>
        <v>4.8237857177045484E-2</v>
      </c>
      <c r="U271" s="445">
        <f t="shared" si="58"/>
        <v>-6.312917089329447E-3</v>
      </c>
      <c r="V271" s="445">
        <f t="shared" si="58"/>
        <v>-2.3749906862868957E-4</v>
      </c>
      <c r="W271" s="445">
        <f t="shared" si="58"/>
        <v>-1.9637009203159663E-2</v>
      </c>
      <c r="X271" s="445">
        <f t="shared" si="58"/>
        <v>1.5494274860732272E-3</v>
      </c>
      <c r="Y271" s="43"/>
      <c r="Z271" s="388">
        <f t="shared" si="68"/>
        <v>1.179636309935705</v>
      </c>
      <c r="AA271" s="43"/>
      <c r="AB271" s="462">
        <f>IF('TAR_Tab 2_Volumina'!C274="storage",1,0)</f>
        <v>0</v>
      </c>
      <c r="AC271" s="389">
        <f t="shared" si="67"/>
        <v>1.179636309935705</v>
      </c>
      <c r="AD271" s="389">
        <f t="shared" si="69"/>
        <v>1.2590153666356456</v>
      </c>
      <c r="AE271" s="43"/>
      <c r="AF271" s="1027">
        <f t="shared" si="70"/>
        <v>1.2590153666356456</v>
      </c>
      <c r="AG271" s="392">
        <f t="shared" si="71"/>
        <v>1.2589999999999999</v>
      </c>
      <c r="AH271" s="392">
        <f>AG271+'TAR_Tab 14_Overige tarieven'!$AA$14+'TAR_Tab 14_Overige tarieven'!$AA$15</f>
        <v>1.4389999999999998</v>
      </c>
      <c r="AI271" s="43"/>
    </row>
    <row r="272" spans="1:35">
      <c r="A272" s="96">
        <v>300734</v>
      </c>
      <c r="B272" s="1286" t="s">
        <v>803</v>
      </c>
      <c r="C272" s="1022"/>
      <c r="D272" s="1358"/>
      <c r="E272" s="1022"/>
      <c r="F272" s="1032">
        <v>2.1463914535910806</v>
      </c>
      <c r="G272" s="390">
        <f t="shared" si="62"/>
        <v>2.0425061072372723</v>
      </c>
      <c r="H272" s="390">
        <f t="shared" si="63"/>
        <v>2.0902415287411023</v>
      </c>
      <c r="I272" s="387"/>
      <c r="J272" s="388">
        <f t="shared" si="64"/>
        <v>1.985729452304047</v>
      </c>
      <c r="K272" s="388">
        <f t="shared" si="65"/>
        <v>2.1947536051781573</v>
      </c>
      <c r="L272" s="1316">
        <v>2.1064018529730841</v>
      </c>
      <c r="M272" s="61" t="b">
        <f t="shared" si="61"/>
        <v>1</v>
      </c>
      <c r="N272" s="857">
        <f t="shared" si="66"/>
        <v>2.1064018529730841</v>
      </c>
      <c r="O272" s="15"/>
      <c r="P272" s="445">
        <f t="shared" si="72"/>
        <v>-9.7690407841798263E-2</v>
      </c>
      <c r="Q272" s="445">
        <f t="shared" si="58"/>
        <v>0.10108354110549442</v>
      </c>
      <c r="R272" s="445">
        <f t="shared" si="58"/>
        <v>0</v>
      </c>
      <c r="S272" s="445">
        <f t="shared" si="58"/>
        <v>3.8080699051331194E-3</v>
      </c>
      <c r="T272" s="445">
        <f t="shared" si="58"/>
        <v>8.8194176139732836E-2</v>
      </c>
      <c r="U272" s="445">
        <f t="shared" si="58"/>
        <v>-1.1542024341761025E-2</v>
      </c>
      <c r="V272" s="445">
        <f t="shared" si="58"/>
        <v>-4.3422398749562506E-4</v>
      </c>
      <c r="W272" s="445">
        <f t="shared" si="58"/>
        <v>-3.5902711062902423E-2</v>
      </c>
      <c r="X272" s="445">
        <f t="shared" si="58"/>
        <v>2.8328472411397305E-3</v>
      </c>
      <c r="Y272" s="43"/>
      <c r="Z272" s="388">
        <f t="shared" si="68"/>
        <v>2.1567511201306271</v>
      </c>
      <c r="AA272" s="43"/>
      <c r="AB272" s="462">
        <f>IF('TAR_Tab 2_Volumina'!C275="storage",1,0)</f>
        <v>0</v>
      </c>
      <c r="AC272" s="389">
        <f t="shared" si="67"/>
        <v>2.1567511201306271</v>
      </c>
      <c r="AD272" s="389">
        <f t="shared" si="69"/>
        <v>2.3018813335790762</v>
      </c>
      <c r="AE272" s="43"/>
      <c r="AF272" s="1027">
        <f t="shared" si="70"/>
        <v>2.3018813335790762</v>
      </c>
      <c r="AG272" s="392">
        <f t="shared" si="71"/>
        <v>2.302</v>
      </c>
      <c r="AH272" s="392">
        <f>AG272+'TAR_Tab 14_Overige tarieven'!$AA$14+'TAR_Tab 14_Overige tarieven'!$AA$15</f>
        <v>2.4820000000000002</v>
      </c>
      <c r="AI272" s="43"/>
    </row>
    <row r="273" spans="1:35">
      <c r="A273" s="96">
        <v>300736</v>
      </c>
      <c r="B273" s="1286" t="s">
        <v>804</v>
      </c>
      <c r="C273" s="1022"/>
      <c r="D273" s="1358"/>
      <c r="E273" s="1022"/>
      <c r="F273" s="1032">
        <v>1.2453120226023722</v>
      </c>
      <c r="G273" s="390">
        <f t="shared" si="62"/>
        <v>1.1850389207084173</v>
      </c>
      <c r="H273" s="390">
        <f t="shared" si="63"/>
        <v>1.2127344718639412</v>
      </c>
      <c r="I273" s="387"/>
      <c r="J273" s="388">
        <f t="shared" si="64"/>
        <v>1.1520977482707442</v>
      </c>
      <c r="K273" s="388">
        <f t="shared" si="65"/>
        <v>1.2733711954571383</v>
      </c>
      <c r="L273" s="1316">
        <v>1.1520977482707442</v>
      </c>
      <c r="M273" s="61" t="b">
        <f t="shared" si="61"/>
        <v>1</v>
      </c>
      <c r="N273" s="857">
        <f t="shared" si="66"/>
        <v>1.1520977482707442</v>
      </c>
      <c r="O273" s="15"/>
      <c r="P273" s="445">
        <f t="shared" si="72"/>
        <v>-5.3431826763411322E-2</v>
      </c>
      <c r="Q273" s="445">
        <f t="shared" si="58"/>
        <v>5.5287703023285104E-2</v>
      </c>
      <c r="R273" s="445">
        <f t="shared" si="58"/>
        <v>0</v>
      </c>
      <c r="S273" s="445">
        <f t="shared" si="58"/>
        <v>2.0828261030861875E-3</v>
      </c>
      <c r="T273" s="445">
        <f t="shared" si="58"/>
        <v>4.8237857177045484E-2</v>
      </c>
      <c r="U273" s="445">
        <f t="shared" si="58"/>
        <v>-6.312917089329447E-3</v>
      </c>
      <c r="V273" s="445">
        <f t="shared" si="58"/>
        <v>-2.3749906862868957E-4</v>
      </c>
      <c r="W273" s="445">
        <f t="shared" si="58"/>
        <v>-1.9637009203159663E-2</v>
      </c>
      <c r="X273" s="445">
        <f t="shared" si="58"/>
        <v>1.5494274860732272E-3</v>
      </c>
      <c r="Y273" s="43"/>
      <c r="Z273" s="388">
        <f t="shared" si="68"/>
        <v>1.179636309935705</v>
      </c>
      <c r="AA273" s="43"/>
      <c r="AB273" s="462">
        <f>IF('TAR_Tab 2_Volumina'!C276="storage",1,0)</f>
        <v>0</v>
      </c>
      <c r="AC273" s="389">
        <f t="shared" si="67"/>
        <v>1.179636309935705</v>
      </c>
      <c r="AD273" s="389">
        <f t="shared" si="69"/>
        <v>1.2590153666356456</v>
      </c>
      <c r="AE273" s="43"/>
      <c r="AF273" s="1027">
        <f t="shared" si="70"/>
        <v>1.2590153666356456</v>
      </c>
      <c r="AG273" s="392">
        <f t="shared" si="71"/>
        <v>1.2589999999999999</v>
      </c>
      <c r="AH273" s="392">
        <f>AG273+'TAR_Tab 14_Overige tarieven'!$AA$14+'TAR_Tab 14_Overige tarieven'!$AA$15</f>
        <v>1.4389999999999998</v>
      </c>
      <c r="AI273" s="43"/>
    </row>
    <row r="274" spans="1:35">
      <c r="A274" s="96">
        <v>300737</v>
      </c>
      <c r="B274" s="1286" t="s">
        <v>297</v>
      </c>
      <c r="C274" s="1022"/>
      <c r="D274" s="1358"/>
      <c r="E274" s="1022"/>
      <c r="F274" s="1032">
        <v>1.159886611128742</v>
      </c>
      <c r="G274" s="390">
        <f t="shared" si="62"/>
        <v>1.103748099150111</v>
      </c>
      <c r="H274" s="390">
        <f t="shared" si="63"/>
        <v>1.1295438020663915</v>
      </c>
      <c r="I274" s="387"/>
      <c r="J274" s="388">
        <f t="shared" si="64"/>
        <v>1.0730666119630718</v>
      </c>
      <c r="K274" s="388">
        <f t="shared" si="65"/>
        <v>1.1860209921697111</v>
      </c>
      <c r="L274" s="1316">
        <v>1.1520977482707442</v>
      </c>
      <c r="M274" s="61" t="b">
        <f t="shared" si="61"/>
        <v>1</v>
      </c>
      <c r="N274" s="857">
        <f t="shared" si="66"/>
        <v>1.1520977482707442</v>
      </c>
      <c r="O274" s="15"/>
      <c r="P274" s="445">
        <f t="shared" si="72"/>
        <v>-5.3431826763411322E-2</v>
      </c>
      <c r="Q274" s="445">
        <f t="shared" si="58"/>
        <v>5.5287703023285104E-2</v>
      </c>
      <c r="R274" s="445">
        <f t="shared" si="58"/>
        <v>0</v>
      </c>
      <c r="S274" s="445">
        <f t="shared" si="58"/>
        <v>2.0828261030861875E-3</v>
      </c>
      <c r="T274" s="445">
        <f t="shared" si="58"/>
        <v>4.8237857177045484E-2</v>
      </c>
      <c r="U274" s="445">
        <f t="shared" si="58"/>
        <v>-6.312917089329447E-3</v>
      </c>
      <c r="V274" s="445">
        <f t="shared" si="58"/>
        <v>-2.3749906862868957E-4</v>
      </c>
      <c r="W274" s="445">
        <f t="shared" si="58"/>
        <v>-1.9637009203159663E-2</v>
      </c>
      <c r="X274" s="445">
        <f t="shared" si="58"/>
        <v>1.5494274860732272E-3</v>
      </c>
      <c r="Y274" s="43"/>
      <c r="Z274" s="388">
        <f t="shared" si="68"/>
        <v>1.179636309935705</v>
      </c>
      <c r="AA274" s="43"/>
      <c r="AB274" s="462">
        <f>IF('TAR_Tab 2_Volumina'!C277="storage",1,0)</f>
        <v>0</v>
      </c>
      <c r="AC274" s="389">
        <f t="shared" si="67"/>
        <v>1.179636309935705</v>
      </c>
      <c r="AD274" s="389">
        <f t="shared" si="69"/>
        <v>1.2590153666356456</v>
      </c>
      <c r="AE274" s="43"/>
      <c r="AF274" s="1027">
        <f t="shared" si="70"/>
        <v>1.2590153666356456</v>
      </c>
      <c r="AG274" s="392">
        <f t="shared" si="71"/>
        <v>1.2589999999999999</v>
      </c>
      <c r="AH274" s="392">
        <f>AG274+'TAR_Tab 14_Overige tarieven'!$AA$14+'TAR_Tab 14_Overige tarieven'!$AA$15</f>
        <v>1.4389999999999998</v>
      </c>
      <c r="AI274" s="43"/>
    </row>
    <row r="275" spans="1:35">
      <c r="A275" s="96">
        <v>300740</v>
      </c>
      <c r="B275" s="1286" t="s">
        <v>805</v>
      </c>
      <c r="C275" s="1022"/>
      <c r="D275" s="1358"/>
      <c r="E275" s="1022"/>
      <c r="F275" s="1032">
        <v>1.2453120226023722</v>
      </c>
      <c r="G275" s="390">
        <f t="shared" si="62"/>
        <v>1.1850389207084173</v>
      </c>
      <c r="H275" s="390">
        <f t="shared" si="63"/>
        <v>1.2127344718639412</v>
      </c>
      <c r="I275" s="387"/>
      <c r="J275" s="388">
        <f t="shared" si="64"/>
        <v>1.1520977482707442</v>
      </c>
      <c r="K275" s="388">
        <f t="shared" si="65"/>
        <v>1.2733711954571383</v>
      </c>
      <c r="L275" s="1316">
        <v>1.2221105090362703</v>
      </c>
      <c r="M275" s="61" t="b">
        <f t="shared" si="61"/>
        <v>1</v>
      </c>
      <c r="N275" s="857">
        <f t="shared" si="66"/>
        <v>1.2221105090362703</v>
      </c>
      <c r="O275" s="15"/>
      <c r="P275" s="445">
        <f t="shared" si="72"/>
        <v>-5.6678868700665963E-2</v>
      </c>
      <c r="Q275" s="445">
        <f t="shared" si="58"/>
        <v>5.8647526207433069E-2</v>
      </c>
      <c r="R275" s="445">
        <f t="shared" si="58"/>
        <v>0</v>
      </c>
      <c r="S275" s="445">
        <f t="shared" si="58"/>
        <v>2.2093990487328944E-3</v>
      </c>
      <c r="T275" s="445">
        <f t="shared" si="58"/>
        <v>5.1169262571637439E-2</v>
      </c>
      <c r="U275" s="445">
        <f t="shared" si="58"/>
        <v>-6.6965518586632354E-3</v>
      </c>
      <c r="V275" s="445">
        <f t="shared" si="58"/>
        <v>-2.5193184180170695E-4</v>
      </c>
      <c r="W275" s="445">
        <f t="shared" si="58"/>
        <v>-2.0830346512910363E-2</v>
      </c>
      <c r="X275" s="445">
        <f t="shared" si="58"/>
        <v>1.6435858993405037E-3</v>
      </c>
      <c r="Y275" s="43"/>
      <c r="Z275" s="388">
        <f t="shared" si="68"/>
        <v>1.2513225838493729</v>
      </c>
      <c r="AA275" s="43"/>
      <c r="AB275" s="462">
        <f>IF('TAR_Tab 2_Volumina'!C278="storage",1,0)</f>
        <v>0</v>
      </c>
      <c r="AC275" s="389">
        <f t="shared" si="67"/>
        <v>1.2513225838493729</v>
      </c>
      <c r="AD275" s="389">
        <f t="shared" si="69"/>
        <v>1.3355254907086145</v>
      </c>
      <c r="AE275" s="43"/>
      <c r="AF275" s="1027">
        <f t="shared" si="70"/>
        <v>1.3355254907086145</v>
      </c>
      <c r="AG275" s="392">
        <f t="shared" si="71"/>
        <v>1.3360000000000001</v>
      </c>
      <c r="AH275" s="392">
        <f>AG275+'TAR_Tab 14_Overige tarieven'!$AA$14+'TAR_Tab 14_Overige tarieven'!$AA$15</f>
        <v>1.516</v>
      </c>
      <c r="AI275" s="43"/>
    </row>
    <row r="276" spans="1:35">
      <c r="A276" s="96">
        <v>300747</v>
      </c>
      <c r="B276" s="1286" t="s">
        <v>384</v>
      </c>
      <c r="C276" s="1022"/>
      <c r="D276" s="1358"/>
      <c r="E276" s="1022"/>
      <c r="F276" s="1032">
        <v>1.2453120226023722</v>
      </c>
      <c r="G276" s="390">
        <f t="shared" si="62"/>
        <v>1.1850389207084173</v>
      </c>
      <c r="H276" s="390">
        <f t="shared" si="63"/>
        <v>1.2127344718639412</v>
      </c>
      <c r="I276" s="387"/>
      <c r="J276" s="388">
        <f t="shared" si="64"/>
        <v>1.1520977482707442</v>
      </c>
      <c r="K276" s="388">
        <f t="shared" si="65"/>
        <v>1.2733711954571383</v>
      </c>
      <c r="L276" s="1316">
        <v>1.2221105090362703</v>
      </c>
      <c r="M276" s="61" t="b">
        <f t="shared" si="61"/>
        <v>1</v>
      </c>
      <c r="N276" s="857">
        <f t="shared" si="66"/>
        <v>1.2221105090362703</v>
      </c>
      <c r="O276" s="15"/>
      <c r="P276" s="445">
        <f t="shared" si="72"/>
        <v>-5.6678868700665963E-2</v>
      </c>
      <c r="Q276" s="445">
        <f t="shared" si="58"/>
        <v>5.8647526207433069E-2</v>
      </c>
      <c r="R276" s="445">
        <f t="shared" si="58"/>
        <v>0</v>
      </c>
      <c r="S276" s="445">
        <f t="shared" si="58"/>
        <v>2.2093990487328944E-3</v>
      </c>
      <c r="T276" s="445">
        <f t="shared" si="58"/>
        <v>5.1169262571637439E-2</v>
      </c>
      <c r="U276" s="445">
        <f t="shared" si="58"/>
        <v>-6.6965518586632354E-3</v>
      </c>
      <c r="V276" s="445">
        <f t="shared" si="58"/>
        <v>-2.5193184180170695E-4</v>
      </c>
      <c r="W276" s="445">
        <f t="shared" si="58"/>
        <v>-2.0830346512910363E-2</v>
      </c>
      <c r="X276" s="445">
        <f t="shared" si="58"/>
        <v>1.6435858993405037E-3</v>
      </c>
      <c r="Y276" s="43"/>
      <c r="Z276" s="388">
        <f t="shared" si="68"/>
        <v>1.2513225838493729</v>
      </c>
      <c r="AA276" s="43"/>
      <c r="AB276" s="462">
        <f>IF('TAR_Tab 2_Volumina'!C279="storage",1,0)</f>
        <v>0</v>
      </c>
      <c r="AC276" s="389">
        <f t="shared" si="67"/>
        <v>1.2513225838493729</v>
      </c>
      <c r="AD276" s="389">
        <f t="shared" si="69"/>
        <v>1.3355254907086145</v>
      </c>
      <c r="AE276" s="43"/>
      <c r="AF276" s="1027">
        <f t="shared" si="70"/>
        <v>1.3355254907086145</v>
      </c>
      <c r="AG276" s="392">
        <f t="shared" si="71"/>
        <v>1.3360000000000001</v>
      </c>
      <c r="AH276" s="392">
        <f>AG276+'TAR_Tab 14_Overige tarieven'!$AA$14+'TAR_Tab 14_Overige tarieven'!$AA$15</f>
        <v>1.516</v>
      </c>
      <c r="AI276" s="43"/>
    </row>
    <row r="277" spans="1:35">
      <c r="A277" s="96">
        <v>300748</v>
      </c>
      <c r="B277" s="1286" t="s">
        <v>1201</v>
      </c>
      <c r="C277" s="1022"/>
      <c r="D277" s="1358"/>
      <c r="E277" s="1022"/>
      <c r="F277" s="1032">
        <v>2.1463914535910806</v>
      </c>
      <c r="G277" s="390">
        <f t="shared" si="62"/>
        <v>2.0425061072372723</v>
      </c>
      <c r="H277" s="390">
        <f t="shared" si="63"/>
        <v>2.0902415287411023</v>
      </c>
      <c r="I277" s="387"/>
      <c r="J277" s="388">
        <f t="shared" si="64"/>
        <v>1.985729452304047</v>
      </c>
      <c r="K277" s="388">
        <f t="shared" si="65"/>
        <v>2.1947536051781573</v>
      </c>
      <c r="L277" s="1316">
        <v>2.1064018529730841</v>
      </c>
      <c r="M277" s="61" t="b">
        <f t="shared" si="61"/>
        <v>1</v>
      </c>
      <c r="N277" s="857">
        <f t="shared" si="66"/>
        <v>2.1064018529730841</v>
      </c>
      <c r="O277" s="15"/>
      <c r="P277" s="445">
        <f t="shared" si="72"/>
        <v>-9.7690407841798263E-2</v>
      </c>
      <c r="Q277" s="445">
        <f t="shared" ref="Q277:X308" si="73">$N277*Q$5</f>
        <v>0.10108354110549442</v>
      </c>
      <c r="R277" s="445">
        <f t="shared" si="73"/>
        <v>0</v>
      </c>
      <c r="S277" s="445">
        <f t="shared" si="73"/>
        <v>3.8080699051331194E-3</v>
      </c>
      <c r="T277" s="445">
        <f t="shared" si="73"/>
        <v>8.8194176139732836E-2</v>
      </c>
      <c r="U277" s="445">
        <f t="shared" si="73"/>
        <v>-1.1542024341761025E-2</v>
      </c>
      <c r="V277" s="445">
        <f t="shared" si="73"/>
        <v>-4.3422398749562506E-4</v>
      </c>
      <c r="W277" s="445">
        <f t="shared" si="73"/>
        <v>-3.5902711062902423E-2</v>
      </c>
      <c r="X277" s="445">
        <f t="shared" si="73"/>
        <v>2.8328472411397305E-3</v>
      </c>
      <c r="Y277" s="43"/>
      <c r="Z277" s="388">
        <f t="shared" si="68"/>
        <v>2.1567511201306271</v>
      </c>
      <c r="AA277" s="43"/>
      <c r="AB277" s="462">
        <f>IF('TAR_Tab 2_Volumina'!C280="storage",1,0)</f>
        <v>0</v>
      </c>
      <c r="AC277" s="389">
        <f t="shared" si="67"/>
        <v>2.1567511201306271</v>
      </c>
      <c r="AD277" s="389">
        <f t="shared" si="69"/>
        <v>2.3018813335790762</v>
      </c>
      <c r="AE277" s="43"/>
      <c r="AF277" s="1027">
        <f t="shared" si="70"/>
        <v>2.3018813335790762</v>
      </c>
      <c r="AG277" s="392">
        <f t="shared" si="71"/>
        <v>2.302</v>
      </c>
      <c r="AH277" s="392">
        <f>AG277+'TAR_Tab 14_Overige tarieven'!$AA$14+'TAR_Tab 14_Overige tarieven'!$AA$15</f>
        <v>2.4820000000000002</v>
      </c>
      <c r="AI277" s="43"/>
    </row>
    <row r="278" spans="1:35">
      <c r="A278" s="96">
        <v>300754</v>
      </c>
      <c r="B278" s="1286" t="s">
        <v>385</v>
      </c>
      <c r="C278" s="1022"/>
      <c r="D278" s="1358"/>
      <c r="E278" s="1022"/>
      <c r="F278" s="1032">
        <v>1.2048960307886838</v>
      </c>
      <c r="G278" s="390">
        <f t="shared" si="62"/>
        <v>1.1465790628985115</v>
      </c>
      <c r="H278" s="390">
        <f t="shared" si="63"/>
        <v>1.1733757685049191</v>
      </c>
      <c r="I278" s="387"/>
      <c r="J278" s="388">
        <f t="shared" si="64"/>
        <v>1.1147069800796732</v>
      </c>
      <c r="K278" s="388">
        <f t="shared" si="65"/>
        <v>1.232044556930165</v>
      </c>
      <c r="L278" s="1316">
        <v>1.1824475109826464</v>
      </c>
      <c r="M278" s="61" t="b">
        <f t="shared" si="61"/>
        <v>1</v>
      </c>
      <c r="N278" s="857">
        <f t="shared" si="66"/>
        <v>1.1824475109826464</v>
      </c>
      <c r="O278" s="15"/>
      <c r="P278" s="445">
        <f t="shared" si="72"/>
        <v>-5.4839383774929681E-2</v>
      </c>
      <c r="Q278" s="445">
        <f t="shared" si="73"/>
        <v>5.6744149466446188E-2</v>
      </c>
      <c r="R278" s="445">
        <f t="shared" si="73"/>
        <v>0</v>
      </c>
      <c r="S278" s="445">
        <f t="shared" si="73"/>
        <v>2.13769408463871E-3</v>
      </c>
      <c r="T278" s="445">
        <f t="shared" si="73"/>
        <v>4.9508589214540898E-2</v>
      </c>
      <c r="U278" s="445">
        <f t="shared" si="73"/>
        <v>-6.4792185476637235E-3</v>
      </c>
      <c r="V278" s="445">
        <f t="shared" si="73"/>
        <v>-2.4375551725728688E-4</v>
      </c>
      <c r="W278" s="445">
        <f t="shared" si="73"/>
        <v>-2.0154307818300504E-2</v>
      </c>
      <c r="X278" s="445">
        <f t="shared" si="73"/>
        <v>1.5902441239081715E-3</v>
      </c>
      <c r="Y278" s="43"/>
      <c r="Z278" s="388">
        <f t="shared" si="68"/>
        <v>1.2107115222140292</v>
      </c>
      <c r="AA278" s="43"/>
      <c r="AB278" s="462">
        <f>IF('TAR_Tab 2_Volumina'!C281="storage",1,0)</f>
        <v>0</v>
      </c>
      <c r="AC278" s="389">
        <f t="shared" si="67"/>
        <v>1.2107115222140292</v>
      </c>
      <c r="AD278" s="389">
        <f t="shared" si="69"/>
        <v>1.2921816649687372</v>
      </c>
      <c r="AE278" s="43"/>
      <c r="AF278" s="1027">
        <f t="shared" si="70"/>
        <v>1.2921816649687372</v>
      </c>
      <c r="AG278" s="392">
        <f t="shared" si="71"/>
        <v>1.292</v>
      </c>
      <c r="AH278" s="392">
        <f>AG278+'TAR_Tab 14_Overige tarieven'!$AA$14+'TAR_Tab 14_Overige tarieven'!$AA$15</f>
        <v>1.472</v>
      </c>
      <c r="AI278" s="43"/>
    </row>
    <row r="279" spans="1:35">
      <c r="A279" s="96">
        <v>300755</v>
      </c>
      <c r="B279" s="1286" t="s">
        <v>386</v>
      </c>
      <c r="C279" s="1022"/>
      <c r="D279" s="1358"/>
      <c r="E279" s="1022"/>
      <c r="F279" s="1032">
        <v>1.2018962896331939</v>
      </c>
      <c r="G279" s="390">
        <f t="shared" si="62"/>
        <v>1.1437245092149473</v>
      </c>
      <c r="H279" s="390">
        <f t="shared" si="63"/>
        <v>1.1704545010314633</v>
      </c>
      <c r="I279" s="387"/>
      <c r="J279" s="388">
        <f t="shared" si="64"/>
        <v>1.1119317759798901</v>
      </c>
      <c r="K279" s="388">
        <f t="shared" si="65"/>
        <v>1.2289772260830365</v>
      </c>
      <c r="L279" s="1316">
        <v>1.1795036582582088</v>
      </c>
      <c r="M279" s="61" t="b">
        <f t="shared" si="61"/>
        <v>1</v>
      </c>
      <c r="N279" s="857">
        <f t="shared" si="66"/>
        <v>1.1795036582582088</v>
      </c>
      <c r="O279" s="15"/>
      <c r="P279" s="445">
        <f t="shared" si="72"/>
        <v>-5.4702854188768052E-2</v>
      </c>
      <c r="Q279" s="445">
        <f t="shared" si="73"/>
        <v>5.6602877725035972E-2</v>
      </c>
      <c r="R279" s="445">
        <f t="shared" si="73"/>
        <v>0</v>
      </c>
      <c r="S279" s="445">
        <f t="shared" si="73"/>
        <v>2.1323720246769545E-3</v>
      </c>
      <c r="T279" s="445">
        <f t="shared" si="73"/>
        <v>4.9385331316081485E-2</v>
      </c>
      <c r="U279" s="445">
        <f t="shared" si="73"/>
        <v>-6.463087713105227E-3</v>
      </c>
      <c r="V279" s="445">
        <f t="shared" si="73"/>
        <v>-2.4314865704834767E-4</v>
      </c>
      <c r="W279" s="445">
        <f t="shared" si="73"/>
        <v>-2.0104131118337937E-2</v>
      </c>
      <c r="X279" s="445">
        <f t="shared" si="73"/>
        <v>1.586285009906741E-3</v>
      </c>
      <c r="Y279" s="43"/>
      <c r="Z279" s="388">
        <f t="shared" si="68"/>
        <v>1.2076973026566504</v>
      </c>
      <c r="AA279" s="43"/>
      <c r="AB279" s="462">
        <f>IF('TAR_Tab 2_Volumina'!C282="storage",1,0)</f>
        <v>0</v>
      </c>
      <c r="AC279" s="389">
        <f t="shared" si="67"/>
        <v>1.2076973026566504</v>
      </c>
      <c r="AD279" s="389">
        <f t="shared" si="69"/>
        <v>1.2889646151804339</v>
      </c>
      <c r="AE279" s="43"/>
      <c r="AF279" s="1027">
        <f t="shared" si="70"/>
        <v>1.2889646151804339</v>
      </c>
      <c r="AG279" s="392">
        <f t="shared" si="71"/>
        <v>1.2889999999999999</v>
      </c>
      <c r="AH279" s="392">
        <f>AG279+'TAR_Tab 14_Overige tarieven'!$AA$14+'TAR_Tab 14_Overige tarieven'!$AA$15</f>
        <v>1.4689999999999999</v>
      </c>
      <c r="AI279" s="43"/>
    </row>
    <row r="280" spans="1:35">
      <c r="A280" s="96">
        <v>300758</v>
      </c>
      <c r="B280" s="1286" t="s">
        <v>387</v>
      </c>
      <c r="C280" s="1022"/>
      <c r="D280" s="1358"/>
      <c r="E280" s="1022"/>
      <c r="F280" s="1032">
        <v>1.2018962896331939</v>
      </c>
      <c r="G280" s="390">
        <f t="shared" si="62"/>
        <v>1.1437245092149473</v>
      </c>
      <c r="H280" s="390">
        <f t="shared" si="63"/>
        <v>1.1704545010314633</v>
      </c>
      <c r="I280" s="387"/>
      <c r="J280" s="388">
        <f t="shared" si="64"/>
        <v>1.1119317759798901</v>
      </c>
      <c r="K280" s="388">
        <f t="shared" si="65"/>
        <v>1.2289772260830365</v>
      </c>
      <c r="L280" s="1316">
        <v>1.1795036582582088</v>
      </c>
      <c r="M280" s="61" t="b">
        <f t="shared" si="61"/>
        <v>1</v>
      </c>
      <c r="N280" s="857">
        <f t="shared" si="66"/>
        <v>1.1795036582582088</v>
      </c>
      <c r="O280" s="15"/>
      <c r="P280" s="445">
        <f t="shared" si="72"/>
        <v>-5.4702854188768052E-2</v>
      </c>
      <c r="Q280" s="445">
        <f t="shared" si="73"/>
        <v>5.6602877725035972E-2</v>
      </c>
      <c r="R280" s="445">
        <f t="shared" si="73"/>
        <v>0</v>
      </c>
      <c r="S280" s="445">
        <f t="shared" si="73"/>
        <v>2.1323720246769545E-3</v>
      </c>
      <c r="T280" s="445">
        <f t="shared" si="73"/>
        <v>4.9385331316081485E-2</v>
      </c>
      <c r="U280" s="445">
        <f t="shared" si="73"/>
        <v>-6.463087713105227E-3</v>
      </c>
      <c r="V280" s="445">
        <f t="shared" si="73"/>
        <v>-2.4314865704834767E-4</v>
      </c>
      <c r="W280" s="445">
        <f t="shared" si="73"/>
        <v>-2.0104131118337937E-2</v>
      </c>
      <c r="X280" s="445">
        <f t="shared" si="73"/>
        <v>1.586285009906741E-3</v>
      </c>
      <c r="Y280" s="43"/>
      <c r="Z280" s="388">
        <f t="shared" si="68"/>
        <v>1.2076973026566504</v>
      </c>
      <c r="AA280" s="43"/>
      <c r="AB280" s="462">
        <f>IF('TAR_Tab 2_Volumina'!C283="storage",1,0)</f>
        <v>0</v>
      </c>
      <c r="AC280" s="389">
        <f t="shared" si="67"/>
        <v>1.2076973026566504</v>
      </c>
      <c r="AD280" s="389">
        <f t="shared" si="69"/>
        <v>1.2889646151804339</v>
      </c>
      <c r="AE280" s="43"/>
      <c r="AF280" s="1027">
        <f t="shared" si="70"/>
        <v>1.2889646151804339</v>
      </c>
      <c r="AG280" s="392">
        <f t="shared" si="71"/>
        <v>1.2889999999999999</v>
      </c>
      <c r="AH280" s="392">
        <f>AG280+'TAR_Tab 14_Overige tarieven'!$AA$14+'TAR_Tab 14_Overige tarieven'!$AA$15</f>
        <v>1.4689999999999999</v>
      </c>
      <c r="AI280" s="43"/>
    </row>
    <row r="281" spans="1:35">
      <c r="A281" s="96">
        <v>300767</v>
      </c>
      <c r="B281" s="1286" t="s">
        <v>388</v>
      </c>
      <c r="C281" s="1022"/>
      <c r="D281" s="1358"/>
      <c r="E281" s="1022"/>
      <c r="F281" s="1032">
        <v>1.2169634562341882</v>
      </c>
      <c r="G281" s="390">
        <f t="shared" si="62"/>
        <v>1.1580624249524536</v>
      </c>
      <c r="H281" s="390">
        <f t="shared" si="63"/>
        <v>1.1851275082767947</v>
      </c>
      <c r="I281" s="387"/>
      <c r="J281" s="388">
        <f t="shared" si="64"/>
        <v>1.1258711328629549</v>
      </c>
      <c r="K281" s="388">
        <f t="shared" si="65"/>
        <v>1.2443838836906345</v>
      </c>
      <c r="L281" s="1316">
        <v>1.1942901072045504</v>
      </c>
      <c r="M281" s="61" t="b">
        <f t="shared" si="61"/>
        <v>1</v>
      </c>
      <c r="N281" s="857">
        <f t="shared" si="66"/>
        <v>1.1942901072045504</v>
      </c>
      <c r="O281" s="15"/>
      <c r="P281" s="445">
        <f t="shared" si="72"/>
        <v>-5.5388618031057317E-2</v>
      </c>
      <c r="Q281" s="445">
        <f t="shared" si="73"/>
        <v>5.7312460570190696E-2</v>
      </c>
      <c r="R281" s="445">
        <f t="shared" si="73"/>
        <v>0</v>
      </c>
      <c r="S281" s="445">
        <f t="shared" si="73"/>
        <v>2.1591037858349096E-3</v>
      </c>
      <c r="T281" s="445">
        <f t="shared" si="73"/>
        <v>5.0004433830169275E-2</v>
      </c>
      <c r="U281" s="445">
        <f t="shared" si="73"/>
        <v>-6.5441100277343163E-3</v>
      </c>
      <c r="V281" s="445">
        <f t="shared" si="73"/>
        <v>-2.4619680800459494E-4</v>
      </c>
      <c r="W281" s="445">
        <f t="shared" si="73"/>
        <v>-2.0356159763022977E-2</v>
      </c>
      <c r="X281" s="445">
        <f t="shared" si="73"/>
        <v>1.6061709357782811E-3</v>
      </c>
      <c r="Y281" s="43"/>
      <c r="Z281" s="388">
        <f t="shared" si="68"/>
        <v>1.2228371916967045</v>
      </c>
      <c r="AA281" s="43"/>
      <c r="AB281" s="462">
        <f>IF('TAR_Tab 2_Volumina'!C284="storage",1,0)</f>
        <v>0</v>
      </c>
      <c r="AC281" s="389">
        <f t="shared" si="67"/>
        <v>1.2228371916967045</v>
      </c>
      <c r="AD281" s="389">
        <f t="shared" si="69"/>
        <v>1.305123284416061</v>
      </c>
      <c r="AE281" s="43"/>
      <c r="AF281" s="1027">
        <f t="shared" si="70"/>
        <v>1.305123284416061</v>
      </c>
      <c r="AG281" s="392">
        <f t="shared" si="71"/>
        <v>1.3049999999999999</v>
      </c>
      <c r="AH281" s="392">
        <f>AG281+'TAR_Tab 14_Overige tarieven'!$AA$14+'TAR_Tab 14_Overige tarieven'!$AA$15</f>
        <v>1.4849999999999999</v>
      </c>
      <c r="AI281" s="43"/>
    </row>
    <row r="282" spans="1:35">
      <c r="A282" s="96">
        <v>300768</v>
      </c>
      <c r="B282" s="1286" t="s">
        <v>389</v>
      </c>
      <c r="C282" s="1022"/>
      <c r="D282" s="1358"/>
      <c r="E282" s="1022"/>
      <c r="F282" s="1032">
        <v>1.159886611128742</v>
      </c>
      <c r="G282" s="390">
        <f t="shared" si="62"/>
        <v>1.103748099150111</v>
      </c>
      <c r="H282" s="390">
        <f t="shared" si="63"/>
        <v>1.1295438020663915</v>
      </c>
      <c r="I282" s="387"/>
      <c r="J282" s="388">
        <f t="shared" si="64"/>
        <v>1.0730666119630718</v>
      </c>
      <c r="K282" s="388">
        <f t="shared" si="65"/>
        <v>1.1860209921697111</v>
      </c>
      <c r="L282" s="1316">
        <v>1.1382766656252798</v>
      </c>
      <c r="M282" s="61" t="b">
        <f t="shared" si="61"/>
        <v>1</v>
      </c>
      <c r="N282" s="857">
        <f t="shared" si="66"/>
        <v>1.1382766656252798</v>
      </c>
      <c r="O282" s="15"/>
      <c r="P282" s="445">
        <f t="shared" si="72"/>
        <v>-5.2790834543173341E-2</v>
      </c>
      <c r="Q282" s="445">
        <f t="shared" si="73"/>
        <v>5.4624446876912411E-2</v>
      </c>
      <c r="R282" s="445">
        <f t="shared" si="73"/>
        <v>0</v>
      </c>
      <c r="S282" s="445">
        <f t="shared" si="73"/>
        <v>2.0578395845810581E-3</v>
      </c>
      <c r="T282" s="445">
        <f t="shared" si="73"/>
        <v>4.7659174151508166E-2</v>
      </c>
      <c r="U282" s="445">
        <f t="shared" si="73"/>
        <v>-6.237184497232511E-3</v>
      </c>
      <c r="V282" s="445">
        <f t="shared" si="73"/>
        <v>-2.3464992300657129E-4</v>
      </c>
      <c r="W282" s="445">
        <f t="shared" si="73"/>
        <v>-1.9401434810696887E-2</v>
      </c>
      <c r="X282" s="445">
        <f t="shared" si="73"/>
        <v>1.5308398572280925E-3</v>
      </c>
      <c r="Y282" s="43"/>
      <c r="Z282" s="388">
        <f t="shared" si="68"/>
        <v>1.1654848623214003</v>
      </c>
      <c r="AA282" s="43"/>
      <c r="AB282" s="462">
        <f>IF('TAR_Tab 2_Volumina'!C285="storage",1,0)</f>
        <v>0</v>
      </c>
      <c r="AC282" s="389">
        <f t="shared" si="67"/>
        <v>1.1654848623214003</v>
      </c>
      <c r="AD282" s="389">
        <f t="shared" si="69"/>
        <v>1.2439116521632418</v>
      </c>
      <c r="AE282" s="43"/>
      <c r="AF282" s="1027">
        <f t="shared" si="70"/>
        <v>1.2439116521632418</v>
      </c>
      <c r="AG282" s="392">
        <f t="shared" si="71"/>
        <v>1.244</v>
      </c>
      <c r="AH282" s="392">
        <f>AG282+'TAR_Tab 14_Overige tarieven'!$AA$14+'TAR_Tab 14_Overige tarieven'!$AA$15</f>
        <v>1.4239999999999999</v>
      </c>
      <c r="AI282" s="43"/>
    </row>
    <row r="283" spans="1:35">
      <c r="A283" s="96">
        <v>300771</v>
      </c>
      <c r="B283" s="1286" t="s">
        <v>372</v>
      </c>
      <c r="C283" s="1022"/>
      <c r="D283" s="1358"/>
      <c r="E283" s="1022"/>
      <c r="F283" s="1032">
        <v>1.159886611128742</v>
      </c>
      <c r="G283" s="390">
        <f t="shared" si="62"/>
        <v>1.103748099150111</v>
      </c>
      <c r="H283" s="390">
        <f t="shared" si="63"/>
        <v>1.1295438020663915</v>
      </c>
      <c r="I283" s="387"/>
      <c r="J283" s="388">
        <f t="shared" si="64"/>
        <v>1.0730666119630718</v>
      </c>
      <c r="K283" s="388">
        <f t="shared" si="65"/>
        <v>1.1860209921697111</v>
      </c>
      <c r="L283" s="1316">
        <v>1.1382766656252798</v>
      </c>
      <c r="M283" s="61" t="b">
        <f t="shared" si="61"/>
        <v>1</v>
      </c>
      <c r="N283" s="857">
        <f t="shared" si="66"/>
        <v>1.1382766656252798</v>
      </c>
      <c r="O283" s="15"/>
      <c r="P283" s="445">
        <f t="shared" si="72"/>
        <v>-5.2790834543173341E-2</v>
      </c>
      <c r="Q283" s="445">
        <f t="shared" si="73"/>
        <v>5.4624446876912411E-2</v>
      </c>
      <c r="R283" s="445">
        <f t="shared" si="73"/>
        <v>0</v>
      </c>
      <c r="S283" s="445">
        <f t="shared" si="73"/>
        <v>2.0578395845810581E-3</v>
      </c>
      <c r="T283" s="445">
        <f t="shared" si="73"/>
        <v>4.7659174151508166E-2</v>
      </c>
      <c r="U283" s="445">
        <f t="shared" si="73"/>
        <v>-6.237184497232511E-3</v>
      </c>
      <c r="V283" s="445">
        <f t="shared" si="73"/>
        <v>-2.3464992300657129E-4</v>
      </c>
      <c r="W283" s="445">
        <f t="shared" si="73"/>
        <v>-1.9401434810696887E-2</v>
      </c>
      <c r="X283" s="445">
        <f t="shared" si="73"/>
        <v>1.5308398572280925E-3</v>
      </c>
      <c r="Y283" s="43"/>
      <c r="Z283" s="388">
        <f t="shared" si="68"/>
        <v>1.1654848623214003</v>
      </c>
      <c r="AA283" s="43"/>
      <c r="AB283" s="462">
        <f>IF('TAR_Tab 2_Volumina'!C286="storage",1,0)</f>
        <v>0</v>
      </c>
      <c r="AC283" s="389">
        <f t="shared" si="67"/>
        <v>1.1654848623214003</v>
      </c>
      <c r="AD283" s="389">
        <f t="shared" si="69"/>
        <v>1.2439116521632418</v>
      </c>
      <c r="AE283" s="43"/>
      <c r="AF283" s="1027">
        <f t="shared" si="70"/>
        <v>1.2439116521632418</v>
      </c>
      <c r="AG283" s="392">
        <f t="shared" si="71"/>
        <v>1.244</v>
      </c>
      <c r="AH283" s="392">
        <f>AG283+'TAR_Tab 14_Overige tarieven'!$AA$14+'TAR_Tab 14_Overige tarieven'!$AA$15</f>
        <v>1.4239999999999999</v>
      </c>
      <c r="AI283" s="43"/>
    </row>
    <row r="284" spans="1:35">
      <c r="A284" s="96">
        <v>300772</v>
      </c>
      <c r="B284" s="1286" t="s">
        <v>806</v>
      </c>
      <c r="C284" s="1022"/>
      <c r="D284" s="1358"/>
      <c r="E284" s="1022"/>
      <c r="F284" s="1032">
        <v>1.133482688273779</v>
      </c>
      <c r="G284" s="390">
        <f t="shared" si="62"/>
        <v>1.078622126161328</v>
      </c>
      <c r="H284" s="390">
        <f t="shared" si="63"/>
        <v>1.1038306098242299</v>
      </c>
      <c r="I284" s="387"/>
      <c r="J284" s="388">
        <f t="shared" si="64"/>
        <v>1.0486390793330183</v>
      </c>
      <c r="K284" s="388">
        <f t="shared" si="65"/>
        <v>1.1590221403154415</v>
      </c>
      <c r="L284" s="1316">
        <v>1.1123646764890949</v>
      </c>
      <c r="M284" s="61" t="b">
        <f t="shared" si="61"/>
        <v>1</v>
      </c>
      <c r="N284" s="857">
        <f t="shared" si="66"/>
        <v>1.1123646764890949</v>
      </c>
      <c r="O284" s="15"/>
      <c r="P284" s="445">
        <f t="shared" si="72"/>
        <v>-5.1589091968206803E-2</v>
      </c>
      <c r="Q284" s="445">
        <f t="shared" si="73"/>
        <v>5.3380963533372953E-2</v>
      </c>
      <c r="R284" s="445">
        <f t="shared" si="73"/>
        <v>0</v>
      </c>
      <c r="S284" s="445">
        <f t="shared" si="73"/>
        <v>2.0109944558263679E-3</v>
      </c>
      <c r="T284" s="445">
        <f t="shared" si="73"/>
        <v>4.6574249861880343E-2</v>
      </c>
      <c r="U284" s="445">
        <f t="shared" si="73"/>
        <v>-6.0951998094906342E-3</v>
      </c>
      <c r="V284" s="445">
        <f t="shared" si="73"/>
        <v>-2.2930829874300712E-4</v>
      </c>
      <c r="W284" s="445">
        <f t="shared" si="73"/>
        <v>-1.8959776132079401E-2</v>
      </c>
      <c r="X284" s="445">
        <f t="shared" si="73"/>
        <v>1.4959914702342826E-3</v>
      </c>
      <c r="Y284" s="43"/>
      <c r="Z284" s="388">
        <f t="shared" si="68"/>
        <v>1.1389534996018891</v>
      </c>
      <c r="AA284" s="43"/>
      <c r="AB284" s="462">
        <f>IF('TAR_Tab 2_Volumina'!C287="storage",1,0)</f>
        <v>0</v>
      </c>
      <c r="AC284" s="389">
        <f t="shared" si="67"/>
        <v>1.1389534996018891</v>
      </c>
      <c r="AD284" s="389">
        <f t="shared" si="69"/>
        <v>1.215594964146518</v>
      </c>
      <c r="AE284" s="43"/>
      <c r="AF284" s="1027">
        <f t="shared" si="70"/>
        <v>1.215594964146518</v>
      </c>
      <c r="AG284" s="392">
        <f t="shared" si="71"/>
        <v>1.216</v>
      </c>
      <c r="AH284" s="392">
        <f>AG284+'TAR_Tab 14_Overige tarieven'!$AA$14+'TAR_Tab 14_Overige tarieven'!$AA$15</f>
        <v>1.3959999999999999</v>
      </c>
      <c r="AI284" s="43"/>
    </row>
    <row r="285" spans="1:35">
      <c r="A285" s="96">
        <v>300773</v>
      </c>
      <c r="B285" s="1286" t="s">
        <v>149</v>
      </c>
      <c r="C285" s="1022"/>
      <c r="D285" s="1358"/>
      <c r="E285" s="1022"/>
      <c r="F285" s="1032">
        <v>1.950988835410383</v>
      </c>
      <c r="G285" s="390">
        <f t="shared" si="62"/>
        <v>1.8565609757765205</v>
      </c>
      <c r="H285" s="390">
        <f t="shared" si="63"/>
        <v>1.8999506725868411</v>
      </c>
      <c r="I285" s="387"/>
      <c r="J285" s="388">
        <f t="shared" si="64"/>
        <v>1.8049531389574991</v>
      </c>
      <c r="K285" s="388">
        <f t="shared" si="65"/>
        <v>1.9949482062161832</v>
      </c>
      <c r="L285" s="1316">
        <v>1.9146397974901568</v>
      </c>
      <c r="M285" s="61" t="b">
        <f t="shared" si="61"/>
        <v>1</v>
      </c>
      <c r="N285" s="857">
        <f t="shared" si="66"/>
        <v>1.9146397974901568</v>
      </c>
      <c r="O285" s="15"/>
      <c r="P285" s="445">
        <f t="shared" si="72"/>
        <v>-8.8796894297710011E-2</v>
      </c>
      <c r="Q285" s="445">
        <f t="shared" si="73"/>
        <v>9.1881124391645141E-2</v>
      </c>
      <c r="R285" s="445">
        <f t="shared" si="73"/>
        <v>0</v>
      </c>
      <c r="S285" s="445">
        <f t="shared" si="73"/>
        <v>3.4613918430148674E-3</v>
      </c>
      <c r="T285" s="445">
        <f t="shared" si="73"/>
        <v>8.0165178028898651E-2</v>
      </c>
      <c r="U285" s="445">
        <f t="shared" si="73"/>
        <v>-1.0491264578572402E-2</v>
      </c>
      <c r="V285" s="445">
        <f t="shared" si="73"/>
        <v>-3.9469321882267422E-4</v>
      </c>
      <c r="W285" s="445">
        <f t="shared" si="73"/>
        <v>-3.2634209536892902E-2</v>
      </c>
      <c r="X285" s="445">
        <f t="shared" si="73"/>
        <v>2.5749512423001225E-3</v>
      </c>
      <c r="Y285" s="43"/>
      <c r="Z285" s="388">
        <f t="shared" si="68"/>
        <v>1.9604053813640177</v>
      </c>
      <c r="AA285" s="43"/>
      <c r="AB285" s="462">
        <f>IF('TAR_Tab 2_Volumina'!C288="storage",1,0)</f>
        <v>0</v>
      </c>
      <c r="AC285" s="389">
        <f t="shared" si="67"/>
        <v>1.9604053813640177</v>
      </c>
      <c r="AD285" s="389">
        <f t="shared" si="69"/>
        <v>2.0923232687768296</v>
      </c>
      <c r="AE285" s="43"/>
      <c r="AF285" s="1027">
        <f t="shared" si="70"/>
        <v>2.0923232687768296</v>
      </c>
      <c r="AG285" s="392">
        <f t="shared" si="71"/>
        <v>2.0920000000000001</v>
      </c>
      <c r="AH285" s="392">
        <f>AG285+'TAR_Tab 14_Overige tarieven'!$AA$14+'TAR_Tab 14_Overige tarieven'!$AA$15</f>
        <v>2.2720000000000002</v>
      </c>
      <c r="AI285" s="43"/>
    </row>
    <row r="286" spans="1:35">
      <c r="A286" s="96">
        <v>300779</v>
      </c>
      <c r="B286" s="1286" t="s">
        <v>807</v>
      </c>
      <c r="C286" s="1022"/>
      <c r="D286" s="1358"/>
      <c r="E286" s="1022"/>
      <c r="F286" s="1032">
        <v>1.4852623879330731</v>
      </c>
      <c r="G286" s="390">
        <f t="shared" si="62"/>
        <v>1.4133756883571122</v>
      </c>
      <c r="H286" s="390">
        <f t="shared" si="63"/>
        <v>1.4464076993694321</v>
      </c>
      <c r="I286" s="387"/>
      <c r="J286" s="388">
        <f t="shared" si="64"/>
        <v>1.3740873144009604</v>
      </c>
      <c r="K286" s="388">
        <f t="shared" si="65"/>
        <v>1.5187280843379038</v>
      </c>
      <c r="L286" s="1316">
        <v>1.4575903388261857</v>
      </c>
      <c r="M286" s="61" t="b">
        <f t="shared" si="61"/>
        <v>1</v>
      </c>
      <c r="N286" s="857">
        <f t="shared" si="66"/>
        <v>1.4575903388261857</v>
      </c>
      <c r="O286" s="15"/>
      <c r="P286" s="445">
        <f t="shared" si="72"/>
        <v>-6.7599919011282095E-2</v>
      </c>
      <c r="Q286" s="445">
        <f t="shared" si="73"/>
        <v>6.9947903208377488E-2</v>
      </c>
      <c r="R286" s="445">
        <f t="shared" si="73"/>
        <v>0</v>
      </c>
      <c r="S286" s="445">
        <f t="shared" si="73"/>
        <v>2.6351125239765494E-3</v>
      </c>
      <c r="T286" s="445">
        <f t="shared" si="73"/>
        <v>6.1028705847635867E-2</v>
      </c>
      <c r="U286" s="445">
        <f t="shared" si="73"/>
        <v>-7.9868630704544429E-3</v>
      </c>
      <c r="V286" s="445">
        <f t="shared" si="73"/>
        <v>-3.0047480644154804E-4</v>
      </c>
      <c r="W286" s="445">
        <f t="shared" si="73"/>
        <v>-2.4843998645885775E-2</v>
      </c>
      <c r="X286" s="445">
        <f t="shared" si="73"/>
        <v>1.960276840920747E-3</v>
      </c>
      <c r="Y286" s="43"/>
      <c r="Z286" s="388">
        <f t="shared" si="68"/>
        <v>1.4924310817130324</v>
      </c>
      <c r="AA286" s="43"/>
      <c r="AB286" s="462">
        <f>IF('TAR_Tab 2_Volumina'!C289="storage",1,0)</f>
        <v>0</v>
      </c>
      <c r="AC286" s="389">
        <f t="shared" si="67"/>
        <v>1.4924310817130324</v>
      </c>
      <c r="AD286" s="389">
        <f t="shared" si="69"/>
        <v>1.5928584511134449</v>
      </c>
      <c r="AE286" s="43"/>
      <c r="AF286" s="1027">
        <f t="shared" si="70"/>
        <v>1.5928584511134449</v>
      </c>
      <c r="AG286" s="392">
        <f t="shared" si="71"/>
        <v>1.593</v>
      </c>
      <c r="AH286" s="392">
        <f>AG286+'TAR_Tab 14_Overige tarieven'!$AA$14+'TAR_Tab 14_Overige tarieven'!$AA$15</f>
        <v>1.7729999999999999</v>
      </c>
      <c r="AI286" s="43"/>
    </row>
    <row r="287" spans="1:35">
      <c r="A287" s="96">
        <v>300784</v>
      </c>
      <c r="B287" s="1286" t="s">
        <v>390</v>
      </c>
      <c r="C287" s="1022"/>
      <c r="D287" s="1358"/>
      <c r="E287" s="1022"/>
      <c r="F287" s="1032">
        <v>1.6511881756800224</v>
      </c>
      <c r="G287" s="390">
        <f t="shared" si="62"/>
        <v>1.5712706679771093</v>
      </c>
      <c r="H287" s="390">
        <f t="shared" si="63"/>
        <v>1.607992843429473</v>
      </c>
      <c r="I287" s="387"/>
      <c r="J287" s="388">
        <f t="shared" si="64"/>
        <v>1.5275932012579994</v>
      </c>
      <c r="K287" s="388">
        <f t="shared" si="65"/>
        <v>1.6883924856009467</v>
      </c>
      <c r="L287" s="1316">
        <v>1.6204247491950126</v>
      </c>
      <c r="M287" s="61" t="b">
        <f t="shared" si="61"/>
        <v>1</v>
      </c>
      <c r="N287" s="857">
        <f t="shared" si="66"/>
        <v>1.6204247491950126</v>
      </c>
      <c r="O287" s="15"/>
      <c r="P287" s="445">
        <f t="shared" si="72"/>
        <v>-7.5151830313086615E-2</v>
      </c>
      <c r="Q287" s="445">
        <f t="shared" si="73"/>
        <v>7.7762119090628981E-2</v>
      </c>
      <c r="R287" s="445">
        <f t="shared" si="73"/>
        <v>0</v>
      </c>
      <c r="S287" s="445">
        <f t="shared" si="73"/>
        <v>2.9294935874808405E-3</v>
      </c>
      <c r="T287" s="445">
        <f t="shared" si="73"/>
        <v>6.7846515397797402E-2</v>
      </c>
      <c r="U287" s="445">
        <f t="shared" si="73"/>
        <v>-8.8791138655724619E-3</v>
      </c>
      <c r="V287" s="445">
        <f t="shared" si="73"/>
        <v>-3.3404228876789138E-4</v>
      </c>
      <c r="W287" s="445">
        <f t="shared" si="73"/>
        <v>-2.7619440937829476E-2</v>
      </c>
      <c r="X287" s="445">
        <f t="shared" si="73"/>
        <v>2.1792687723629191E-3</v>
      </c>
      <c r="Y287" s="43"/>
      <c r="Z287" s="388">
        <f t="shared" si="68"/>
        <v>1.6591577186380262</v>
      </c>
      <c r="AA287" s="43"/>
      <c r="AB287" s="462">
        <f>IF('TAR_Tab 2_Volumina'!C290="storage",1,0)</f>
        <v>0</v>
      </c>
      <c r="AC287" s="389">
        <f t="shared" si="67"/>
        <v>1.6591577186380262</v>
      </c>
      <c r="AD287" s="389">
        <f t="shared" si="69"/>
        <v>1.7708043113315746</v>
      </c>
      <c r="AE287" s="43"/>
      <c r="AF287" s="1027">
        <f t="shared" si="70"/>
        <v>1.7708043113315746</v>
      </c>
      <c r="AG287" s="392">
        <f t="shared" si="71"/>
        <v>1.7709999999999999</v>
      </c>
      <c r="AH287" s="392">
        <f>AG287+'TAR_Tab 14_Overige tarieven'!$AA$14+'TAR_Tab 14_Overige tarieven'!$AA$15</f>
        <v>1.9509999999999998</v>
      </c>
      <c r="AI287" s="43"/>
    </row>
    <row r="288" spans="1:35">
      <c r="A288" s="96">
        <v>300785</v>
      </c>
      <c r="B288" s="1286" t="s">
        <v>536</v>
      </c>
      <c r="C288" s="1022"/>
      <c r="D288" s="1358"/>
      <c r="E288" s="1022"/>
      <c r="F288" s="1032">
        <v>1.2169634562341882</v>
      </c>
      <c r="G288" s="390">
        <f t="shared" si="62"/>
        <v>1.1580624249524536</v>
      </c>
      <c r="H288" s="390">
        <f t="shared" si="63"/>
        <v>1.1851275082767947</v>
      </c>
      <c r="I288" s="387"/>
      <c r="J288" s="388">
        <f t="shared" si="64"/>
        <v>1.1258711328629549</v>
      </c>
      <c r="K288" s="388">
        <f t="shared" si="65"/>
        <v>1.2443838836906345</v>
      </c>
      <c r="L288" s="1316">
        <v>1.1258711328629549</v>
      </c>
      <c r="M288" s="61" t="b">
        <f t="shared" si="61"/>
        <v>1</v>
      </c>
      <c r="N288" s="857">
        <f t="shared" si="66"/>
        <v>1.1258711328629549</v>
      </c>
      <c r="O288" s="15"/>
      <c r="P288" s="445">
        <f t="shared" si="72"/>
        <v>-5.2215492495626348E-2</v>
      </c>
      <c r="Q288" s="445">
        <f t="shared" si="73"/>
        <v>5.4029121165844469E-2</v>
      </c>
      <c r="R288" s="445">
        <f t="shared" si="73"/>
        <v>0</v>
      </c>
      <c r="S288" s="445">
        <f t="shared" si="73"/>
        <v>2.0354121755362582E-3</v>
      </c>
      <c r="T288" s="445">
        <f t="shared" si="73"/>
        <v>4.7139759615291606E-2</v>
      </c>
      <c r="U288" s="445">
        <f t="shared" si="73"/>
        <v>-6.1692084076211346E-3</v>
      </c>
      <c r="V288" s="445">
        <f t="shared" si="73"/>
        <v>-2.3209258576559747E-4</v>
      </c>
      <c r="W288" s="445">
        <f t="shared" si="73"/>
        <v>-1.918998785544546E-2</v>
      </c>
      <c r="X288" s="445">
        <f t="shared" si="73"/>
        <v>1.5141559660650564E-3</v>
      </c>
      <c r="Y288" s="43"/>
      <c r="Z288" s="388">
        <f t="shared" si="68"/>
        <v>1.1527828004412337</v>
      </c>
      <c r="AA288" s="43"/>
      <c r="AB288" s="462">
        <f>IF('TAR_Tab 2_Volumina'!C291="storage",1,0)</f>
        <v>0</v>
      </c>
      <c r="AC288" s="389">
        <f t="shared" si="67"/>
        <v>1.1527828004412337</v>
      </c>
      <c r="AD288" s="389">
        <f t="shared" si="69"/>
        <v>1.2303548542244278</v>
      </c>
      <c r="AE288" s="43"/>
      <c r="AF288" s="1027">
        <f t="shared" si="70"/>
        <v>1.2303548542244278</v>
      </c>
      <c r="AG288" s="392">
        <f t="shared" si="71"/>
        <v>1.23</v>
      </c>
      <c r="AH288" s="392">
        <f>AG288+'TAR_Tab 14_Overige tarieven'!$AA$14+'TAR_Tab 14_Overige tarieven'!$AA$15</f>
        <v>1.41</v>
      </c>
      <c r="AI288" s="43"/>
    </row>
    <row r="289" spans="1:35">
      <c r="A289" s="96">
        <v>300786</v>
      </c>
      <c r="B289" s="1286" t="s">
        <v>391</v>
      </c>
      <c r="C289" s="1022"/>
      <c r="D289" s="1358"/>
      <c r="E289" s="1022"/>
      <c r="F289" s="1032">
        <v>1.2453120226023722</v>
      </c>
      <c r="G289" s="390">
        <f t="shared" si="62"/>
        <v>1.1850389207084173</v>
      </c>
      <c r="H289" s="390">
        <f t="shared" si="63"/>
        <v>1.2127344718639412</v>
      </c>
      <c r="I289" s="387"/>
      <c r="J289" s="388">
        <f t="shared" si="64"/>
        <v>1.1520977482707442</v>
      </c>
      <c r="K289" s="388">
        <f t="shared" si="65"/>
        <v>1.2733711954571383</v>
      </c>
      <c r="L289" s="1316">
        <v>1.2221105090362703</v>
      </c>
      <c r="M289" s="61" t="b">
        <f t="shared" si="61"/>
        <v>1</v>
      </c>
      <c r="N289" s="857">
        <f t="shared" si="66"/>
        <v>1.2221105090362703</v>
      </c>
      <c r="O289" s="15"/>
      <c r="P289" s="445">
        <f t="shared" si="72"/>
        <v>-5.6678868700665963E-2</v>
      </c>
      <c r="Q289" s="445">
        <f t="shared" si="73"/>
        <v>5.8647526207433069E-2</v>
      </c>
      <c r="R289" s="445">
        <f t="shared" si="73"/>
        <v>0</v>
      </c>
      <c r="S289" s="445">
        <f t="shared" si="73"/>
        <v>2.2093990487328944E-3</v>
      </c>
      <c r="T289" s="445">
        <f t="shared" si="73"/>
        <v>5.1169262571637439E-2</v>
      </c>
      <c r="U289" s="445">
        <f t="shared" si="73"/>
        <v>-6.6965518586632354E-3</v>
      </c>
      <c r="V289" s="445">
        <f t="shared" si="73"/>
        <v>-2.5193184180170695E-4</v>
      </c>
      <c r="W289" s="445">
        <f t="shared" si="73"/>
        <v>-2.0830346512910363E-2</v>
      </c>
      <c r="X289" s="445">
        <f t="shared" si="73"/>
        <v>1.6435858993405037E-3</v>
      </c>
      <c r="Y289" s="43"/>
      <c r="Z289" s="388">
        <f t="shared" si="68"/>
        <v>1.2513225838493729</v>
      </c>
      <c r="AA289" s="43"/>
      <c r="AB289" s="462">
        <f>IF('TAR_Tab 2_Volumina'!C292="storage",1,0)</f>
        <v>0</v>
      </c>
      <c r="AC289" s="389">
        <f t="shared" si="67"/>
        <v>1.2513225838493729</v>
      </c>
      <c r="AD289" s="389">
        <f t="shared" si="69"/>
        <v>1.3355254907086145</v>
      </c>
      <c r="AE289" s="43"/>
      <c r="AF289" s="1027">
        <f t="shared" si="70"/>
        <v>1.3355254907086145</v>
      </c>
      <c r="AG289" s="392">
        <f t="shared" si="71"/>
        <v>1.3360000000000001</v>
      </c>
      <c r="AH289" s="392">
        <f>AG289+'TAR_Tab 14_Overige tarieven'!$AA$14+'TAR_Tab 14_Overige tarieven'!$AA$15</f>
        <v>1.516</v>
      </c>
      <c r="AI289" s="43"/>
    </row>
    <row r="290" spans="1:35">
      <c r="A290" s="96">
        <v>300790</v>
      </c>
      <c r="B290" s="1286" t="s">
        <v>392</v>
      </c>
      <c r="C290" s="1022"/>
      <c r="D290" s="1358"/>
      <c r="E290" s="1022"/>
      <c r="F290" s="1032">
        <v>2.1818117337600897</v>
      </c>
      <c r="G290" s="390">
        <f t="shared" si="62"/>
        <v>2.0762120458461015</v>
      </c>
      <c r="H290" s="390">
        <f t="shared" si="63"/>
        <v>2.1247352090271647</v>
      </c>
      <c r="I290" s="387"/>
      <c r="J290" s="388">
        <f t="shared" si="64"/>
        <v>2.0184984485758064</v>
      </c>
      <c r="K290" s="388">
        <f t="shared" si="65"/>
        <v>2.2309719694785231</v>
      </c>
      <c r="L290" s="1316">
        <v>2.1411622149079954</v>
      </c>
      <c r="M290" s="61" t="b">
        <f t="shared" si="61"/>
        <v>1</v>
      </c>
      <c r="N290" s="857">
        <f t="shared" si="66"/>
        <v>2.1411622149079954</v>
      </c>
      <c r="O290" s="15"/>
      <c r="P290" s="445">
        <f t="shared" si="72"/>
        <v>-9.9302519001573913E-2</v>
      </c>
      <c r="Q290" s="445">
        <f t="shared" si="73"/>
        <v>0.10275164658571417</v>
      </c>
      <c r="R290" s="445">
        <f t="shared" si="73"/>
        <v>0</v>
      </c>
      <c r="S290" s="445">
        <f t="shared" si="73"/>
        <v>3.870911612183954E-3</v>
      </c>
      <c r="T290" s="445">
        <f t="shared" si="73"/>
        <v>8.9649578146164519E-2</v>
      </c>
      <c r="U290" s="445">
        <f t="shared" si="73"/>
        <v>-1.173249366888153E-2</v>
      </c>
      <c r="V290" s="445">
        <f t="shared" si="73"/>
        <v>-4.4138965863518663E-4</v>
      </c>
      <c r="W290" s="445">
        <f t="shared" si="73"/>
        <v>-3.6495186439445389E-2</v>
      </c>
      <c r="X290" s="445">
        <f t="shared" si="73"/>
        <v>2.8795955837075766E-3</v>
      </c>
      <c r="Y290" s="43"/>
      <c r="Z290" s="388">
        <f t="shared" si="68"/>
        <v>2.1923423580672297</v>
      </c>
      <c r="AA290" s="43"/>
      <c r="AB290" s="462">
        <f>IF('TAR_Tab 2_Volumina'!C293="storage",1,0)</f>
        <v>0</v>
      </c>
      <c r="AC290" s="389">
        <f t="shared" si="67"/>
        <v>2.1923423580672297</v>
      </c>
      <c r="AD290" s="389">
        <f t="shared" si="69"/>
        <v>2.3398675460263774</v>
      </c>
      <c r="AE290" s="43"/>
      <c r="AF290" s="1027">
        <f t="shared" si="70"/>
        <v>2.3398675460263774</v>
      </c>
      <c r="AG290" s="392">
        <f t="shared" si="71"/>
        <v>2.34</v>
      </c>
      <c r="AH290" s="392">
        <f>AG290+'TAR_Tab 14_Overige tarieven'!$AA$14+'TAR_Tab 14_Overige tarieven'!$AA$15</f>
        <v>2.52</v>
      </c>
      <c r="AI290" s="43"/>
    </row>
    <row r="291" spans="1:35">
      <c r="A291" s="96">
        <v>300791</v>
      </c>
      <c r="B291" s="1286" t="s">
        <v>298</v>
      </c>
      <c r="C291" s="1022"/>
      <c r="D291" s="1358"/>
      <c r="E291" s="1022"/>
      <c r="F291" s="1032">
        <v>1.159886611128742</v>
      </c>
      <c r="G291" s="390">
        <f t="shared" si="62"/>
        <v>1.103748099150111</v>
      </c>
      <c r="H291" s="390">
        <f t="shared" si="63"/>
        <v>1.1295438020663915</v>
      </c>
      <c r="I291" s="387"/>
      <c r="J291" s="388">
        <f t="shared" si="64"/>
        <v>1.0730666119630718</v>
      </c>
      <c r="K291" s="388">
        <f t="shared" si="65"/>
        <v>1.1860209921697111</v>
      </c>
      <c r="L291" s="1316">
        <v>1.1382766656252798</v>
      </c>
      <c r="M291" s="61" t="b">
        <f t="shared" si="61"/>
        <v>1</v>
      </c>
      <c r="N291" s="857">
        <f t="shared" si="66"/>
        <v>1.1382766656252798</v>
      </c>
      <c r="O291" s="15"/>
      <c r="P291" s="445">
        <f t="shared" si="72"/>
        <v>-5.2790834543173341E-2</v>
      </c>
      <c r="Q291" s="445">
        <f t="shared" si="73"/>
        <v>5.4624446876912411E-2</v>
      </c>
      <c r="R291" s="445">
        <f t="shared" si="73"/>
        <v>0</v>
      </c>
      <c r="S291" s="445">
        <f t="shared" si="73"/>
        <v>2.0578395845810581E-3</v>
      </c>
      <c r="T291" s="445">
        <f t="shared" si="73"/>
        <v>4.7659174151508166E-2</v>
      </c>
      <c r="U291" s="445">
        <f t="shared" si="73"/>
        <v>-6.237184497232511E-3</v>
      </c>
      <c r="V291" s="445">
        <f t="shared" si="73"/>
        <v>-2.3464992300657129E-4</v>
      </c>
      <c r="W291" s="445">
        <f t="shared" si="73"/>
        <v>-1.9401434810696887E-2</v>
      </c>
      <c r="X291" s="445">
        <f t="shared" si="73"/>
        <v>1.5308398572280925E-3</v>
      </c>
      <c r="Y291" s="43"/>
      <c r="Z291" s="388">
        <f t="shared" si="68"/>
        <v>1.1654848623214003</v>
      </c>
      <c r="AA291" s="43"/>
      <c r="AB291" s="462">
        <f>IF('TAR_Tab 2_Volumina'!C294="storage",1,0)</f>
        <v>0</v>
      </c>
      <c r="AC291" s="389">
        <f t="shared" si="67"/>
        <v>1.1654848623214003</v>
      </c>
      <c r="AD291" s="389">
        <f t="shared" si="69"/>
        <v>1.2439116521632418</v>
      </c>
      <c r="AE291" s="43"/>
      <c r="AF291" s="1027">
        <f t="shared" si="70"/>
        <v>1.2439116521632418</v>
      </c>
      <c r="AG291" s="392">
        <f t="shared" si="71"/>
        <v>1.244</v>
      </c>
      <c r="AH291" s="392">
        <f>AG291+'TAR_Tab 14_Overige tarieven'!$AA$14+'TAR_Tab 14_Overige tarieven'!$AA$15</f>
        <v>1.4239999999999999</v>
      </c>
      <c r="AI291" s="43"/>
    </row>
    <row r="292" spans="1:35">
      <c r="A292" s="96">
        <v>300792</v>
      </c>
      <c r="B292" s="1286" t="s">
        <v>393</v>
      </c>
      <c r="C292" s="1022"/>
      <c r="D292" s="1358"/>
      <c r="E292" s="1022"/>
      <c r="F292" s="1032">
        <v>2.0428237268890301</v>
      </c>
      <c r="G292" s="390">
        <f t="shared" si="62"/>
        <v>1.943951058507601</v>
      </c>
      <c r="H292" s="390">
        <f t="shared" si="63"/>
        <v>1.9893831494236927</v>
      </c>
      <c r="I292" s="387"/>
      <c r="J292" s="388">
        <f t="shared" si="64"/>
        <v>1.8899139919525079</v>
      </c>
      <c r="K292" s="388">
        <f t="shared" si="65"/>
        <v>2.0888523068948772</v>
      </c>
      <c r="L292" s="1316">
        <v>2.0047637053423624</v>
      </c>
      <c r="M292" s="61" t="b">
        <f t="shared" si="61"/>
        <v>1</v>
      </c>
      <c r="N292" s="857">
        <f t="shared" si="66"/>
        <v>2.0047637053423624</v>
      </c>
      <c r="O292" s="15"/>
      <c r="P292" s="445">
        <f t="shared" si="72"/>
        <v>-9.2976648176084101E-2</v>
      </c>
      <c r="Q292" s="445">
        <f t="shared" si="73"/>
        <v>9.620605590037308E-2</v>
      </c>
      <c r="R292" s="445">
        <f t="shared" si="73"/>
        <v>0</v>
      </c>
      <c r="S292" s="445">
        <f t="shared" si="73"/>
        <v>3.6243228339559205E-3</v>
      </c>
      <c r="T292" s="445">
        <f t="shared" si="73"/>
        <v>8.3938628850877231E-2</v>
      </c>
      <c r="U292" s="445">
        <f t="shared" si="73"/>
        <v>-1.0985098334337749E-2</v>
      </c>
      <c r="V292" s="445">
        <f t="shared" si="73"/>
        <v>-4.132718022876656E-4</v>
      </c>
      <c r="W292" s="445">
        <f t="shared" si="73"/>
        <v>-3.4170332674512804E-2</v>
      </c>
      <c r="X292" s="445">
        <f t="shared" si="73"/>
        <v>2.696156634974601E-3</v>
      </c>
      <c r="Y292" s="43"/>
      <c r="Z292" s="388">
        <f t="shared" si="68"/>
        <v>2.0526835185753209</v>
      </c>
      <c r="AA292" s="43"/>
      <c r="AB292" s="462">
        <f>IF('TAR_Tab 2_Volumina'!C295="storage",1,0)</f>
        <v>0</v>
      </c>
      <c r="AC292" s="389">
        <f t="shared" si="67"/>
        <v>2.0526835185753209</v>
      </c>
      <c r="AD292" s="389">
        <f t="shared" si="69"/>
        <v>2.190810905834963</v>
      </c>
      <c r="AE292" s="43"/>
      <c r="AF292" s="1027">
        <f t="shared" si="70"/>
        <v>2.190810905834963</v>
      </c>
      <c r="AG292" s="392">
        <f t="shared" si="71"/>
        <v>2.1909999999999998</v>
      </c>
      <c r="AH292" s="392">
        <f>AG292+'TAR_Tab 14_Overige tarieven'!$AA$14+'TAR_Tab 14_Overige tarieven'!$AA$15</f>
        <v>2.371</v>
      </c>
      <c r="AI292" s="43"/>
    </row>
    <row r="293" spans="1:35">
      <c r="A293" s="96">
        <v>300794</v>
      </c>
      <c r="B293" s="1286" t="s">
        <v>394</v>
      </c>
      <c r="C293" s="1022"/>
      <c r="D293" s="1358"/>
      <c r="E293" s="1022"/>
      <c r="F293" s="1032">
        <v>2.0428237268890301</v>
      </c>
      <c r="G293" s="390">
        <f t="shared" si="62"/>
        <v>1.943951058507601</v>
      </c>
      <c r="H293" s="390">
        <f t="shared" si="63"/>
        <v>1.9893831494236927</v>
      </c>
      <c r="I293" s="387"/>
      <c r="J293" s="388">
        <f t="shared" si="64"/>
        <v>1.8899139919525079</v>
      </c>
      <c r="K293" s="388">
        <f t="shared" si="65"/>
        <v>2.0888523068948772</v>
      </c>
      <c r="L293" s="1316">
        <v>2.0047637053423624</v>
      </c>
      <c r="M293" s="61" t="b">
        <f t="shared" si="61"/>
        <v>1</v>
      </c>
      <c r="N293" s="857">
        <f t="shared" si="66"/>
        <v>2.0047637053423624</v>
      </c>
      <c r="O293" s="15"/>
      <c r="P293" s="445">
        <f t="shared" si="72"/>
        <v>-9.2976648176084101E-2</v>
      </c>
      <c r="Q293" s="445">
        <f t="shared" si="73"/>
        <v>9.620605590037308E-2</v>
      </c>
      <c r="R293" s="445">
        <f t="shared" si="73"/>
        <v>0</v>
      </c>
      <c r="S293" s="445">
        <f t="shared" si="73"/>
        <v>3.6243228339559205E-3</v>
      </c>
      <c r="T293" s="445">
        <f t="shared" si="73"/>
        <v>8.3938628850877231E-2</v>
      </c>
      <c r="U293" s="445">
        <f t="shared" si="73"/>
        <v>-1.0985098334337749E-2</v>
      </c>
      <c r="V293" s="445">
        <f t="shared" si="73"/>
        <v>-4.132718022876656E-4</v>
      </c>
      <c r="W293" s="445">
        <f t="shared" si="73"/>
        <v>-3.4170332674512804E-2</v>
      </c>
      <c r="X293" s="445">
        <f t="shared" si="73"/>
        <v>2.696156634974601E-3</v>
      </c>
      <c r="Y293" s="43"/>
      <c r="Z293" s="388">
        <f t="shared" si="68"/>
        <v>2.0526835185753209</v>
      </c>
      <c r="AA293" s="43"/>
      <c r="AB293" s="462">
        <f>IF('TAR_Tab 2_Volumina'!C296="storage",1,0)</f>
        <v>0</v>
      </c>
      <c r="AC293" s="389">
        <f t="shared" si="67"/>
        <v>2.0526835185753209</v>
      </c>
      <c r="AD293" s="389">
        <f t="shared" si="69"/>
        <v>2.190810905834963</v>
      </c>
      <c r="AE293" s="43"/>
      <c r="AF293" s="1027">
        <f t="shared" si="70"/>
        <v>2.190810905834963</v>
      </c>
      <c r="AG293" s="392">
        <f t="shared" si="71"/>
        <v>2.1909999999999998</v>
      </c>
      <c r="AH293" s="392">
        <f>AG293+'TAR_Tab 14_Overige tarieven'!$AA$14+'TAR_Tab 14_Overige tarieven'!$AA$15</f>
        <v>2.371</v>
      </c>
      <c r="AI293" s="43"/>
    </row>
    <row r="294" spans="1:35">
      <c r="A294" s="96">
        <v>300795</v>
      </c>
      <c r="B294" s="1286" t="s">
        <v>395</v>
      </c>
      <c r="C294" s="1022"/>
      <c r="D294" s="1358"/>
      <c r="E294" s="1022"/>
      <c r="F294" s="1032">
        <v>1.7700058285273574</v>
      </c>
      <c r="G294" s="390">
        <f t="shared" si="62"/>
        <v>1.6843375464266332</v>
      </c>
      <c r="H294" s="390">
        <f t="shared" si="63"/>
        <v>1.7237022085192013</v>
      </c>
      <c r="I294" s="387"/>
      <c r="J294" s="388">
        <f t="shared" si="64"/>
        <v>1.6375170980932412</v>
      </c>
      <c r="K294" s="388">
        <f t="shared" si="65"/>
        <v>1.8098873189451614</v>
      </c>
      <c r="L294" s="1316">
        <v>1.7370287003078466</v>
      </c>
      <c r="M294" s="61" t="b">
        <f t="shared" si="61"/>
        <v>1</v>
      </c>
      <c r="N294" s="857">
        <f t="shared" si="66"/>
        <v>1.7370287003078466</v>
      </c>
      <c r="O294" s="15"/>
      <c r="P294" s="445">
        <f t="shared" si="72"/>
        <v>-8.0559671900436114E-2</v>
      </c>
      <c r="Q294" s="445">
        <f t="shared" si="73"/>
        <v>8.3357794136556626E-2</v>
      </c>
      <c r="R294" s="445">
        <f t="shared" si="73"/>
        <v>0</v>
      </c>
      <c r="S294" s="445">
        <f t="shared" si="73"/>
        <v>3.1402966668769498E-3</v>
      </c>
      <c r="T294" s="445">
        <f t="shared" si="73"/>
        <v>7.2728674701122653E-2</v>
      </c>
      <c r="U294" s="445">
        <f t="shared" si="73"/>
        <v>-9.5180449604109173E-3</v>
      </c>
      <c r="V294" s="445">
        <f t="shared" si="73"/>
        <v>-3.5807959795393054E-4</v>
      </c>
      <c r="W294" s="445">
        <f t="shared" si="73"/>
        <v>-2.9606904991608191E-2</v>
      </c>
      <c r="X294" s="445">
        <f t="shared" si="73"/>
        <v>2.3360865138350659E-3</v>
      </c>
      <c r="Y294" s="43"/>
      <c r="Z294" s="388">
        <f t="shared" si="68"/>
        <v>1.7785488508758287</v>
      </c>
      <c r="AA294" s="43"/>
      <c r="AB294" s="462">
        <f>IF('TAR_Tab 2_Volumina'!C297="storage",1,0)</f>
        <v>0</v>
      </c>
      <c r="AC294" s="389">
        <f t="shared" si="67"/>
        <v>1.7785488508758287</v>
      </c>
      <c r="AD294" s="389">
        <f t="shared" si="69"/>
        <v>1.8982294074068342</v>
      </c>
      <c r="AE294" s="43"/>
      <c r="AF294" s="1027">
        <f t="shared" si="70"/>
        <v>1.8982294074068342</v>
      </c>
      <c r="AG294" s="392">
        <f t="shared" si="71"/>
        <v>1.8979999999999999</v>
      </c>
      <c r="AH294" s="392">
        <f>AG294+'TAR_Tab 14_Overige tarieven'!$AA$14+'TAR_Tab 14_Overige tarieven'!$AA$15</f>
        <v>2.0779999999999998</v>
      </c>
      <c r="AI294" s="43"/>
    </row>
    <row r="295" spans="1:35">
      <c r="A295" s="96">
        <v>300798</v>
      </c>
      <c r="B295" s="1286" t="s">
        <v>299</v>
      </c>
      <c r="C295" s="1022"/>
      <c r="D295" s="1358"/>
      <c r="E295" s="1022"/>
      <c r="F295" s="1032">
        <v>1.3230251344826223</v>
      </c>
      <c r="G295" s="390">
        <f t="shared" si="62"/>
        <v>1.2589907179736632</v>
      </c>
      <c r="H295" s="390">
        <f t="shared" si="63"/>
        <v>1.2884145969911769</v>
      </c>
      <c r="I295" s="387"/>
      <c r="J295" s="388">
        <f t="shared" si="64"/>
        <v>1.223993867141618</v>
      </c>
      <c r="K295" s="388">
        <f t="shared" si="65"/>
        <v>1.3528353268407358</v>
      </c>
      <c r="L295" s="1316">
        <v>1.2983757413595676</v>
      </c>
      <c r="M295" s="61" t="b">
        <f t="shared" si="61"/>
        <v>1</v>
      </c>
      <c r="N295" s="857">
        <f t="shared" si="66"/>
        <v>1.2983757413595676</v>
      </c>
      <c r="O295" s="15"/>
      <c r="P295" s="445">
        <f t="shared" si="72"/>
        <v>-6.021588688135953E-2</v>
      </c>
      <c r="Q295" s="445">
        <f t="shared" si="73"/>
        <v>6.2307397535209863E-2</v>
      </c>
      <c r="R295" s="445">
        <f t="shared" si="73"/>
        <v>0</v>
      </c>
      <c r="S295" s="445">
        <f t="shared" si="73"/>
        <v>2.3472755586725412E-3</v>
      </c>
      <c r="T295" s="445">
        <f t="shared" si="73"/>
        <v>5.4362456369565833E-2</v>
      </c>
      <c r="U295" s="445">
        <f t="shared" si="73"/>
        <v>-7.1144470322091185E-3</v>
      </c>
      <c r="V295" s="445">
        <f t="shared" si="73"/>
        <v>-2.6765353006359319E-4</v>
      </c>
      <c r="W295" s="445">
        <f t="shared" si="73"/>
        <v>-2.2130254503583528E-2</v>
      </c>
      <c r="X295" s="445">
        <f t="shared" si="73"/>
        <v>1.7461531054398492E-3</v>
      </c>
      <c r="Y295" s="43"/>
      <c r="Z295" s="388">
        <f t="shared" si="68"/>
        <v>1.32941078198124</v>
      </c>
      <c r="AA295" s="43"/>
      <c r="AB295" s="462">
        <f>IF('TAR_Tab 2_Volumina'!C298="storage",1,0)</f>
        <v>0</v>
      </c>
      <c r="AC295" s="389">
        <f t="shared" si="67"/>
        <v>1.32941078198124</v>
      </c>
      <c r="AD295" s="389">
        <f t="shared" si="69"/>
        <v>1.4188683316951454</v>
      </c>
      <c r="AE295" s="43"/>
      <c r="AF295" s="1027">
        <f t="shared" si="70"/>
        <v>1.4188683316951454</v>
      </c>
      <c r="AG295" s="392">
        <f t="shared" si="71"/>
        <v>1.419</v>
      </c>
      <c r="AH295" s="392">
        <f>AG295+'TAR_Tab 14_Overige tarieven'!$AA$14+'TAR_Tab 14_Overige tarieven'!$AA$15</f>
        <v>1.599</v>
      </c>
      <c r="AI295" s="43"/>
    </row>
    <row r="296" spans="1:35">
      <c r="A296" s="96">
        <v>300800</v>
      </c>
      <c r="B296" s="1286" t="s">
        <v>396</v>
      </c>
      <c r="C296" s="1022"/>
      <c r="D296" s="1358"/>
      <c r="E296" s="1022"/>
      <c r="F296" s="1032">
        <v>1.2453120226023722</v>
      </c>
      <c r="G296" s="390">
        <f t="shared" si="62"/>
        <v>1.1850389207084173</v>
      </c>
      <c r="H296" s="390">
        <f t="shared" si="63"/>
        <v>1.2127344718639412</v>
      </c>
      <c r="I296" s="387"/>
      <c r="J296" s="388">
        <f t="shared" si="64"/>
        <v>1.1520977482707442</v>
      </c>
      <c r="K296" s="388">
        <f t="shared" si="65"/>
        <v>1.2733711954571383</v>
      </c>
      <c r="L296" s="1316">
        <v>1.2221105090362703</v>
      </c>
      <c r="M296" s="61" t="b">
        <f t="shared" si="61"/>
        <v>1</v>
      </c>
      <c r="N296" s="857">
        <f t="shared" si="66"/>
        <v>1.2221105090362703</v>
      </c>
      <c r="O296" s="15"/>
      <c r="P296" s="445">
        <f t="shared" si="72"/>
        <v>-5.6678868700665963E-2</v>
      </c>
      <c r="Q296" s="445">
        <f t="shared" si="73"/>
        <v>5.8647526207433069E-2</v>
      </c>
      <c r="R296" s="445">
        <f t="shared" si="73"/>
        <v>0</v>
      </c>
      <c r="S296" s="445">
        <f t="shared" si="73"/>
        <v>2.2093990487328944E-3</v>
      </c>
      <c r="T296" s="445">
        <f t="shared" si="73"/>
        <v>5.1169262571637439E-2</v>
      </c>
      <c r="U296" s="445">
        <f t="shared" si="73"/>
        <v>-6.6965518586632354E-3</v>
      </c>
      <c r="V296" s="445">
        <f t="shared" si="73"/>
        <v>-2.5193184180170695E-4</v>
      </c>
      <c r="W296" s="445">
        <f t="shared" si="73"/>
        <v>-2.0830346512910363E-2</v>
      </c>
      <c r="X296" s="445">
        <f t="shared" si="73"/>
        <v>1.6435858993405037E-3</v>
      </c>
      <c r="Y296" s="43"/>
      <c r="Z296" s="388">
        <f t="shared" si="68"/>
        <v>1.2513225838493729</v>
      </c>
      <c r="AA296" s="43"/>
      <c r="AB296" s="462">
        <f>IF('TAR_Tab 2_Volumina'!C299="storage",1,0)</f>
        <v>0</v>
      </c>
      <c r="AC296" s="389">
        <f t="shared" si="67"/>
        <v>1.2513225838493729</v>
      </c>
      <c r="AD296" s="389">
        <f t="shared" si="69"/>
        <v>1.3355254907086145</v>
      </c>
      <c r="AE296" s="43"/>
      <c r="AF296" s="1027">
        <f t="shared" si="70"/>
        <v>1.3355254907086145</v>
      </c>
      <c r="AG296" s="392">
        <f t="shared" si="71"/>
        <v>1.3360000000000001</v>
      </c>
      <c r="AH296" s="392">
        <f>AG296+'TAR_Tab 14_Overige tarieven'!$AA$14+'TAR_Tab 14_Overige tarieven'!$AA$15</f>
        <v>1.516</v>
      </c>
      <c r="AI296" s="43"/>
    </row>
    <row r="297" spans="1:35">
      <c r="A297" s="96">
        <v>300801</v>
      </c>
      <c r="B297" s="1286" t="s">
        <v>1202</v>
      </c>
      <c r="C297" s="1022"/>
      <c r="D297" s="1358"/>
      <c r="E297" s="1022"/>
      <c r="F297" s="1032">
        <v>1.159886611128742</v>
      </c>
      <c r="G297" s="390">
        <f t="shared" si="62"/>
        <v>1.103748099150111</v>
      </c>
      <c r="H297" s="390">
        <f t="shared" si="63"/>
        <v>1.1295438020663915</v>
      </c>
      <c r="I297" s="387"/>
      <c r="J297" s="388">
        <f t="shared" si="64"/>
        <v>1.0730666119630718</v>
      </c>
      <c r="K297" s="388">
        <f t="shared" si="65"/>
        <v>1.1860209921697111</v>
      </c>
      <c r="L297" s="1316">
        <v>1.1382766656252798</v>
      </c>
      <c r="M297" s="61" t="b">
        <f t="shared" si="61"/>
        <v>1</v>
      </c>
      <c r="N297" s="857">
        <f t="shared" si="66"/>
        <v>1.1382766656252798</v>
      </c>
      <c r="O297" s="15"/>
      <c r="P297" s="445">
        <f t="shared" si="72"/>
        <v>-5.2790834543173341E-2</v>
      </c>
      <c r="Q297" s="445">
        <f t="shared" si="73"/>
        <v>5.4624446876912411E-2</v>
      </c>
      <c r="R297" s="445">
        <f t="shared" si="73"/>
        <v>0</v>
      </c>
      <c r="S297" s="445">
        <f t="shared" si="73"/>
        <v>2.0578395845810581E-3</v>
      </c>
      <c r="T297" s="445">
        <f t="shared" si="73"/>
        <v>4.7659174151508166E-2</v>
      </c>
      <c r="U297" s="445">
        <f t="shared" si="73"/>
        <v>-6.237184497232511E-3</v>
      </c>
      <c r="V297" s="445">
        <f t="shared" si="73"/>
        <v>-2.3464992300657129E-4</v>
      </c>
      <c r="W297" s="445">
        <f t="shared" si="73"/>
        <v>-1.9401434810696887E-2</v>
      </c>
      <c r="X297" s="445">
        <f t="shared" si="73"/>
        <v>1.5308398572280925E-3</v>
      </c>
      <c r="Y297" s="43"/>
      <c r="Z297" s="388">
        <f t="shared" si="68"/>
        <v>1.1654848623214003</v>
      </c>
      <c r="AA297" s="43"/>
      <c r="AB297" s="462">
        <f>IF('TAR_Tab 2_Volumina'!C300="storage",1,0)</f>
        <v>0</v>
      </c>
      <c r="AC297" s="389">
        <f t="shared" si="67"/>
        <v>1.1654848623214003</v>
      </c>
      <c r="AD297" s="389">
        <f t="shared" si="69"/>
        <v>1.2439116521632418</v>
      </c>
      <c r="AE297" s="43"/>
      <c r="AF297" s="1027">
        <f t="shared" si="70"/>
        <v>1.2439116521632418</v>
      </c>
      <c r="AG297" s="392">
        <f t="shared" si="71"/>
        <v>1.244</v>
      </c>
      <c r="AH297" s="392">
        <f>AG297+'TAR_Tab 14_Overige tarieven'!$AA$14+'TAR_Tab 14_Overige tarieven'!$AA$15</f>
        <v>1.4239999999999999</v>
      </c>
      <c r="AI297" s="43"/>
    </row>
    <row r="298" spans="1:35">
      <c r="A298" s="96">
        <v>300802</v>
      </c>
      <c r="B298" s="1286" t="s">
        <v>397</v>
      </c>
      <c r="C298" s="1022"/>
      <c r="D298" s="1358"/>
      <c r="E298" s="1022"/>
      <c r="F298" s="1032">
        <v>1.702853062600107</v>
      </c>
      <c r="G298" s="390">
        <f t="shared" si="62"/>
        <v>1.620434974370262</v>
      </c>
      <c r="H298" s="390">
        <f t="shared" si="63"/>
        <v>1.6583061690986536</v>
      </c>
      <c r="I298" s="387"/>
      <c r="J298" s="388">
        <f t="shared" si="64"/>
        <v>1.5753908606437208</v>
      </c>
      <c r="K298" s="388">
        <f t="shared" si="65"/>
        <v>1.7412214775535864</v>
      </c>
      <c r="L298" s="1316">
        <v>1.6711270632393753</v>
      </c>
      <c r="M298" s="61" t="b">
        <f t="shared" si="61"/>
        <v>1</v>
      </c>
      <c r="N298" s="857">
        <f t="shared" si="66"/>
        <v>1.6711270632393753</v>
      </c>
      <c r="O298" s="15"/>
      <c r="P298" s="445">
        <f t="shared" si="72"/>
        <v>-7.7503295077763712E-2</v>
      </c>
      <c r="Q298" s="445">
        <f t="shared" si="73"/>
        <v>8.0195258540545961E-2</v>
      </c>
      <c r="R298" s="445">
        <f t="shared" si="73"/>
        <v>0</v>
      </c>
      <c r="S298" s="445">
        <f t="shared" si="73"/>
        <v>3.021156038290227E-3</v>
      </c>
      <c r="T298" s="445">
        <f t="shared" si="73"/>
        <v>6.996940035880761E-2</v>
      </c>
      <c r="U298" s="445">
        <f t="shared" si="73"/>
        <v>-9.1569370843745425E-3</v>
      </c>
      <c r="V298" s="445">
        <f t="shared" si="73"/>
        <v>-3.4449431194121129E-4</v>
      </c>
      <c r="W298" s="445">
        <f t="shared" si="73"/>
        <v>-2.8483640012087769E-2</v>
      </c>
      <c r="X298" s="445">
        <f t="shared" si="73"/>
        <v>2.24745704814574E-3</v>
      </c>
      <c r="Y298" s="43"/>
      <c r="Z298" s="388">
        <f t="shared" si="68"/>
        <v>1.7110719687389977</v>
      </c>
      <c r="AA298" s="43"/>
      <c r="AB298" s="462">
        <f>IF('TAR_Tab 2_Volumina'!C301="storage",1,0)</f>
        <v>0</v>
      </c>
      <c r="AC298" s="389">
        <f t="shared" si="67"/>
        <v>1.7110719687389977</v>
      </c>
      <c r="AD298" s="389">
        <f t="shared" si="69"/>
        <v>1.8262119298271868</v>
      </c>
      <c r="AE298" s="43"/>
      <c r="AF298" s="1027">
        <f t="shared" si="70"/>
        <v>1.8262119298271868</v>
      </c>
      <c r="AG298" s="392">
        <f t="shared" si="71"/>
        <v>1.8260000000000001</v>
      </c>
      <c r="AH298" s="392">
        <f>AG298+'TAR_Tab 14_Overige tarieven'!$AA$14+'TAR_Tab 14_Overige tarieven'!$AA$15</f>
        <v>2.0060000000000002</v>
      </c>
      <c r="AI298" s="43"/>
    </row>
    <row r="299" spans="1:35">
      <c r="A299" s="96">
        <v>300803</v>
      </c>
      <c r="B299" s="1286" t="s">
        <v>398</v>
      </c>
      <c r="C299" s="1022"/>
      <c r="D299" s="1358"/>
      <c r="E299" s="1022"/>
      <c r="F299" s="1032">
        <v>1.2453120226023722</v>
      </c>
      <c r="G299" s="390">
        <f t="shared" si="62"/>
        <v>1.1850389207084173</v>
      </c>
      <c r="H299" s="390">
        <f t="shared" si="63"/>
        <v>1.2127344718639412</v>
      </c>
      <c r="I299" s="387"/>
      <c r="J299" s="388">
        <f t="shared" si="64"/>
        <v>1.1520977482707442</v>
      </c>
      <c r="K299" s="388">
        <f t="shared" si="65"/>
        <v>1.2733711954571383</v>
      </c>
      <c r="L299" s="1316">
        <v>1.1520977482707442</v>
      </c>
      <c r="M299" s="61" t="b">
        <f t="shared" si="61"/>
        <v>1</v>
      </c>
      <c r="N299" s="857">
        <f t="shared" si="66"/>
        <v>1.1520977482707442</v>
      </c>
      <c r="O299" s="15"/>
      <c r="P299" s="445">
        <f t="shared" si="72"/>
        <v>-5.3431826763411322E-2</v>
      </c>
      <c r="Q299" s="445">
        <f t="shared" si="73"/>
        <v>5.5287703023285104E-2</v>
      </c>
      <c r="R299" s="445">
        <f t="shared" si="73"/>
        <v>0</v>
      </c>
      <c r="S299" s="445">
        <f t="shared" si="73"/>
        <v>2.0828261030861875E-3</v>
      </c>
      <c r="T299" s="445">
        <f t="shared" si="73"/>
        <v>4.8237857177045484E-2</v>
      </c>
      <c r="U299" s="445">
        <f t="shared" si="73"/>
        <v>-6.312917089329447E-3</v>
      </c>
      <c r="V299" s="445">
        <f t="shared" si="73"/>
        <v>-2.3749906862868957E-4</v>
      </c>
      <c r="W299" s="445">
        <f t="shared" si="73"/>
        <v>-1.9637009203159663E-2</v>
      </c>
      <c r="X299" s="445">
        <f t="shared" si="73"/>
        <v>1.5494274860732272E-3</v>
      </c>
      <c r="Y299" s="43"/>
      <c r="Z299" s="388">
        <f t="shared" si="68"/>
        <v>1.179636309935705</v>
      </c>
      <c r="AA299" s="43"/>
      <c r="AB299" s="462">
        <f>IF('TAR_Tab 2_Volumina'!C302="storage",1,0)</f>
        <v>0</v>
      </c>
      <c r="AC299" s="389">
        <f t="shared" si="67"/>
        <v>1.179636309935705</v>
      </c>
      <c r="AD299" s="389">
        <f t="shared" si="69"/>
        <v>1.2590153666356456</v>
      </c>
      <c r="AE299" s="43"/>
      <c r="AF299" s="1027">
        <f t="shared" si="70"/>
        <v>1.2590153666356456</v>
      </c>
      <c r="AG299" s="392">
        <f t="shared" si="71"/>
        <v>1.2589999999999999</v>
      </c>
      <c r="AH299" s="392">
        <f>AG299+'TAR_Tab 14_Overige tarieven'!$AA$14+'TAR_Tab 14_Overige tarieven'!$AA$15</f>
        <v>1.4389999999999998</v>
      </c>
      <c r="AI299" s="43"/>
    </row>
    <row r="300" spans="1:35">
      <c r="A300" s="96">
        <v>300804</v>
      </c>
      <c r="B300" s="1286" t="s">
        <v>399</v>
      </c>
      <c r="C300" s="1022"/>
      <c r="D300" s="1358"/>
      <c r="E300" s="1022"/>
      <c r="F300" s="1032">
        <v>1.159886611128742</v>
      </c>
      <c r="G300" s="390">
        <f t="shared" si="62"/>
        <v>1.103748099150111</v>
      </c>
      <c r="H300" s="390">
        <f t="shared" si="63"/>
        <v>1.1295438020663915</v>
      </c>
      <c r="I300" s="387"/>
      <c r="J300" s="388">
        <f t="shared" si="64"/>
        <v>1.0730666119630718</v>
      </c>
      <c r="K300" s="388">
        <f t="shared" si="65"/>
        <v>1.1860209921697111</v>
      </c>
      <c r="L300" s="1316">
        <v>1.1520977482707442</v>
      </c>
      <c r="M300" s="61" t="b">
        <f t="shared" si="61"/>
        <v>1</v>
      </c>
      <c r="N300" s="857">
        <f t="shared" si="66"/>
        <v>1.1520977482707442</v>
      </c>
      <c r="O300" s="15"/>
      <c r="P300" s="445">
        <f t="shared" si="72"/>
        <v>-5.3431826763411322E-2</v>
      </c>
      <c r="Q300" s="445">
        <f t="shared" si="73"/>
        <v>5.5287703023285104E-2</v>
      </c>
      <c r="R300" s="445">
        <f t="shared" si="73"/>
        <v>0</v>
      </c>
      <c r="S300" s="445">
        <f t="shared" si="73"/>
        <v>2.0828261030861875E-3</v>
      </c>
      <c r="T300" s="445">
        <f t="shared" si="73"/>
        <v>4.8237857177045484E-2</v>
      </c>
      <c r="U300" s="445">
        <f t="shared" si="73"/>
        <v>-6.312917089329447E-3</v>
      </c>
      <c r="V300" s="445">
        <f t="shared" si="73"/>
        <v>-2.3749906862868957E-4</v>
      </c>
      <c r="W300" s="445">
        <f t="shared" si="73"/>
        <v>-1.9637009203159663E-2</v>
      </c>
      <c r="X300" s="445">
        <f t="shared" si="73"/>
        <v>1.5494274860732272E-3</v>
      </c>
      <c r="Y300" s="43"/>
      <c r="Z300" s="388">
        <f t="shared" si="68"/>
        <v>1.179636309935705</v>
      </c>
      <c r="AA300" s="43"/>
      <c r="AB300" s="462">
        <f>IF('TAR_Tab 2_Volumina'!C303="storage",1,0)</f>
        <v>0</v>
      </c>
      <c r="AC300" s="389">
        <f t="shared" si="67"/>
        <v>1.179636309935705</v>
      </c>
      <c r="AD300" s="389">
        <f t="shared" si="69"/>
        <v>1.2590153666356456</v>
      </c>
      <c r="AE300" s="43"/>
      <c r="AF300" s="1027">
        <f t="shared" si="70"/>
        <v>1.2590153666356456</v>
      </c>
      <c r="AG300" s="392">
        <f t="shared" si="71"/>
        <v>1.2589999999999999</v>
      </c>
      <c r="AH300" s="392">
        <f>AG300+'TAR_Tab 14_Overige tarieven'!$AA$14+'TAR_Tab 14_Overige tarieven'!$AA$15</f>
        <v>1.4389999999999998</v>
      </c>
      <c r="AI300" s="43"/>
    </row>
    <row r="301" spans="1:35">
      <c r="A301" s="96">
        <v>300807</v>
      </c>
      <c r="B301" s="1286" t="s">
        <v>400</v>
      </c>
      <c r="C301" s="1022"/>
      <c r="D301" s="1358"/>
      <c r="E301" s="1022"/>
      <c r="F301" s="1032">
        <v>1.1860114500974976</v>
      </c>
      <c r="G301" s="390">
        <f t="shared" si="62"/>
        <v>1.1286084959127787</v>
      </c>
      <c r="H301" s="390">
        <f t="shared" si="63"/>
        <v>1.1549852112989918</v>
      </c>
      <c r="I301" s="387"/>
      <c r="J301" s="388">
        <f t="shared" si="64"/>
        <v>1.0972359507340421</v>
      </c>
      <c r="K301" s="388">
        <f t="shared" si="65"/>
        <v>1.2127344718639415</v>
      </c>
      <c r="L301" s="1316">
        <v>1.1520977482707442</v>
      </c>
      <c r="M301" s="61" t="b">
        <f t="shared" si="61"/>
        <v>1</v>
      </c>
      <c r="N301" s="857">
        <f t="shared" si="66"/>
        <v>1.1520977482707442</v>
      </c>
      <c r="O301" s="15"/>
      <c r="P301" s="445">
        <f t="shared" si="72"/>
        <v>-5.3431826763411322E-2</v>
      </c>
      <c r="Q301" s="445">
        <f t="shared" si="73"/>
        <v>5.5287703023285104E-2</v>
      </c>
      <c r="R301" s="445">
        <f t="shared" si="73"/>
        <v>0</v>
      </c>
      <c r="S301" s="445">
        <f t="shared" si="73"/>
        <v>2.0828261030861875E-3</v>
      </c>
      <c r="T301" s="445">
        <f t="shared" si="73"/>
        <v>4.8237857177045484E-2</v>
      </c>
      <c r="U301" s="445">
        <f t="shared" si="73"/>
        <v>-6.312917089329447E-3</v>
      </c>
      <c r="V301" s="445">
        <f t="shared" si="73"/>
        <v>-2.3749906862868957E-4</v>
      </c>
      <c r="W301" s="445">
        <f t="shared" si="73"/>
        <v>-1.9637009203159663E-2</v>
      </c>
      <c r="X301" s="445">
        <f t="shared" si="73"/>
        <v>1.5494274860732272E-3</v>
      </c>
      <c r="Y301" s="43"/>
      <c r="Z301" s="388">
        <f t="shared" si="68"/>
        <v>1.179636309935705</v>
      </c>
      <c r="AA301" s="43"/>
      <c r="AB301" s="462">
        <f>IF('TAR_Tab 2_Volumina'!C304="storage",1,0)</f>
        <v>0</v>
      </c>
      <c r="AC301" s="389">
        <f t="shared" si="67"/>
        <v>1.179636309935705</v>
      </c>
      <c r="AD301" s="389">
        <f t="shared" si="69"/>
        <v>1.2590153666356456</v>
      </c>
      <c r="AE301" s="43"/>
      <c r="AF301" s="1027">
        <f t="shared" si="70"/>
        <v>1.2590153666356456</v>
      </c>
      <c r="AG301" s="392">
        <f t="shared" si="71"/>
        <v>1.2589999999999999</v>
      </c>
      <c r="AH301" s="392">
        <f>AG301+'TAR_Tab 14_Overige tarieven'!$AA$14+'TAR_Tab 14_Overige tarieven'!$AA$15</f>
        <v>1.4389999999999998</v>
      </c>
      <c r="AI301" s="43"/>
    </row>
    <row r="302" spans="1:35">
      <c r="A302" s="96">
        <v>300808</v>
      </c>
      <c r="B302" s="1286" t="s">
        <v>401</v>
      </c>
      <c r="C302" s="1022"/>
      <c r="D302" s="1358"/>
      <c r="E302" s="1022"/>
      <c r="F302" s="1032">
        <v>1.2453120226023722</v>
      </c>
      <c r="G302" s="390">
        <f t="shared" si="62"/>
        <v>1.1850389207084173</v>
      </c>
      <c r="H302" s="390">
        <f t="shared" si="63"/>
        <v>1.2127344718639412</v>
      </c>
      <c r="I302" s="387"/>
      <c r="J302" s="388">
        <f t="shared" si="64"/>
        <v>1.1520977482707442</v>
      </c>
      <c r="K302" s="388">
        <f t="shared" si="65"/>
        <v>1.2733711954571383</v>
      </c>
      <c r="L302" s="1316">
        <v>1.1520977482707442</v>
      </c>
      <c r="M302" s="61" t="b">
        <f t="shared" si="61"/>
        <v>1</v>
      </c>
      <c r="N302" s="857">
        <f t="shared" si="66"/>
        <v>1.1520977482707442</v>
      </c>
      <c r="O302" s="15"/>
      <c r="P302" s="445">
        <f t="shared" si="72"/>
        <v>-5.3431826763411322E-2</v>
      </c>
      <c r="Q302" s="445">
        <f t="shared" si="73"/>
        <v>5.5287703023285104E-2</v>
      </c>
      <c r="R302" s="445">
        <f t="shared" si="73"/>
        <v>0</v>
      </c>
      <c r="S302" s="445">
        <f t="shared" si="73"/>
        <v>2.0828261030861875E-3</v>
      </c>
      <c r="T302" s="445">
        <f t="shared" si="73"/>
        <v>4.8237857177045484E-2</v>
      </c>
      <c r="U302" s="445">
        <f t="shared" si="73"/>
        <v>-6.312917089329447E-3</v>
      </c>
      <c r="V302" s="445">
        <f t="shared" si="73"/>
        <v>-2.3749906862868957E-4</v>
      </c>
      <c r="W302" s="445">
        <f t="shared" si="73"/>
        <v>-1.9637009203159663E-2</v>
      </c>
      <c r="X302" s="445">
        <f t="shared" si="73"/>
        <v>1.5494274860732272E-3</v>
      </c>
      <c r="Y302" s="43"/>
      <c r="Z302" s="388">
        <f t="shared" si="68"/>
        <v>1.179636309935705</v>
      </c>
      <c r="AA302" s="43"/>
      <c r="AB302" s="462">
        <f>IF('TAR_Tab 2_Volumina'!C305="storage",1,0)</f>
        <v>0</v>
      </c>
      <c r="AC302" s="389">
        <f t="shared" si="67"/>
        <v>1.179636309935705</v>
      </c>
      <c r="AD302" s="389">
        <f t="shared" si="69"/>
        <v>1.2590153666356456</v>
      </c>
      <c r="AE302" s="43"/>
      <c r="AF302" s="1027">
        <f t="shared" si="70"/>
        <v>1.2590153666356456</v>
      </c>
      <c r="AG302" s="392">
        <f t="shared" si="71"/>
        <v>1.2589999999999999</v>
      </c>
      <c r="AH302" s="392">
        <f>AG302+'TAR_Tab 14_Overige tarieven'!$AA$14+'TAR_Tab 14_Overige tarieven'!$AA$15</f>
        <v>1.4389999999999998</v>
      </c>
      <c r="AI302" s="43"/>
    </row>
    <row r="303" spans="1:35">
      <c r="A303" s="96">
        <v>300809</v>
      </c>
      <c r="B303" s="1286" t="s">
        <v>402</v>
      </c>
      <c r="C303" s="1022"/>
      <c r="D303" s="1358"/>
      <c r="E303" s="1022"/>
      <c r="F303" s="1032">
        <v>1.2208946502846334</v>
      </c>
      <c r="G303" s="390">
        <f t="shared" si="62"/>
        <v>1.161803349210857</v>
      </c>
      <c r="H303" s="390">
        <f t="shared" si="63"/>
        <v>1.1889558616966858</v>
      </c>
      <c r="I303" s="387"/>
      <c r="J303" s="388">
        <f t="shared" si="64"/>
        <v>1.1295080686118515</v>
      </c>
      <c r="K303" s="388">
        <f t="shared" si="65"/>
        <v>1.24840365478152</v>
      </c>
      <c r="L303" s="1316">
        <v>1.1981480588463165</v>
      </c>
      <c r="M303" s="61" t="b">
        <f t="shared" si="61"/>
        <v>1</v>
      </c>
      <c r="N303" s="857">
        <f t="shared" si="66"/>
        <v>1.1981480588463165</v>
      </c>
      <c r="O303" s="15"/>
      <c r="P303" s="445">
        <f t="shared" si="72"/>
        <v>-5.5567541567791819E-2</v>
      </c>
      <c r="Q303" s="445">
        <f t="shared" si="73"/>
        <v>5.7497598753967469E-2</v>
      </c>
      <c r="R303" s="445">
        <f t="shared" si="73"/>
        <v>0</v>
      </c>
      <c r="S303" s="445">
        <f t="shared" si="73"/>
        <v>2.1660784044347427E-3</v>
      </c>
      <c r="T303" s="445">
        <f t="shared" si="73"/>
        <v>5.016596467299124E-2</v>
      </c>
      <c r="U303" s="445">
        <f t="shared" si="73"/>
        <v>-6.5652496653090513E-3</v>
      </c>
      <c r="V303" s="445">
        <f t="shared" si="73"/>
        <v>-2.469921050382965E-4</v>
      </c>
      <c r="W303" s="445">
        <f t="shared" si="73"/>
        <v>-2.0421916884767563E-2</v>
      </c>
      <c r="X303" s="445">
        <f t="shared" si="73"/>
        <v>1.611359398582471E-3</v>
      </c>
      <c r="Y303" s="43"/>
      <c r="Z303" s="388">
        <f t="shared" si="68"/>
        <v>1.2267873598533856</v>
      </c>
      <c r="AA303" s="43"/>
      <c r="AB303" s="462">
        <f>IF('TAR_Tab 2_Volumina'!C306="storage",1,0)</f>
        <v>0</v>
      </c>
      <c r="AC303" s="389">
        <f t="shared" si="67"/>
        <v>1.2267873598533856</v>
      </c>
      <c r="AD303" s="389">
        <f t="shared" si="69"/>
        <v>1.3093392638396915</v>
      </c>
      <c r="AE303" s="43"/>
      <c r="AF303" s="1027">
        <f t="shared" si="70"/>
        <v>1.3093392638396915</v>
      </c>
      <c r="AG303" s="392">
        <f t="shared" si="71"/>
        <v>1.3089999999999999</v>
      </c>
      <c r="AH303" s="392">
        <f>AG303+'TAR_Tab 14_Overige tarieven'!$AA$14+'TAR_Tab 14_Overige tarieven'!$AA$15</f>
        <v>1.4889999999999999</v>
      </c>
      <c r="AI303" s="43"/>
    </row>
    <row r="304" spans="1:35">
      <c r="A304" s="96">
        <v>300812</v>
      </c>
      <c r="B304" s="1286" t="s">
        <v>403</v>
      </c>
      <c r="C304" s="1022"/>
      <c r="D304" s="1358"/>
      <c r="E304" s="1022"/>
      <c r="F304" s="1032">
        <v>2.1818117337600897</v>
      </c>
      <c r="G304" s="390">
        <f t="shared" si="62"/>
        <v>2.0762120458461015</v>
      </c>
      <c r="H304" s="390">
        <f t="shared" si="63"/>
        <v>2.1247352090271647</v>
      </c>
      <c r="I304" s="387"/>
      <c r="J304" s="388">
        <f t="shared" si="64"/>
        <v>2.0184984485758064</v>
      </c>
      <c r="K304" s="388">
        <f t="shared" si="65"/>
        <v>2.2309719694785231</v>
      </c>
      <c r="L304" s="1316">
        <v>2.1411622149079954</v>
      </c>
      <c r="M304" s="61" t="b">
        <f t="shared" si="61"/>
        <v>1</v>
      </c>
      <c r="N304" s="857">
        <f t="shared" si="66"/>
        <v>2.1411622149079954</v>
      </c>
      <c r="O304" s="15"/>
      <c r="P304" s="445">
        <f t="shared" si="72"/>
        <v>-9.9302519001573913E-2</v>
      </c>
      <c r="Q304" s="445">
        <f t="shared" si="73"/>
        <v>0.10275164658571417</v>
      </c>
      <c r="R304" s="445">
        <f t="shared" si="73"/>
        <v>0</v>
      </c>
      <c r="S304" s="445">
        <f t="shared" si="73"/>
        <v>3.870911612183954E-3</v>
      </c>
      <c r="T304" s="445">
        <f t="shared" si="73"/>
        <v>8.9649578146164519E-2</v>
      </c>
      <c r="U304" s="445">
        <f t="shared" si="73"/>
        <v>-1.173249366888153E-2</v>
      </c>
      <c r="V304" s="445">
        <f t="shared" si="73"/>
        <v>-4.4138965863518663E-4</v>
      </c>
      <c r="W304" s="445">
        <f t="shared" si="73"/>
        <v>-3.6495186439445389E-2</v>
      </c>
      <c r="X304" s="445">
        <f t="shared" si="73"/>
        <v>2.8795955837075766E-3</v>
      </c>
      <c r="Y304" s="43"/>
      <c r="Z304" s="388">
        <f t="shared" si="68"/>
        <v>2.1923423580672297</v>
      </c>
      <c r="AA304" s="43"/>
      <c r="AB304" s="462">
        <f>IF('TAR_Tab 2_Volumina'!C307="storage",1,0)</f>
        <v>0</v>
      </c>
      <c r="AC304" s="389">
        <f t="shared" si="67"/>
        <v>2.1923423580672297</v>
      </c>
      <c r="AD304" s="389">
        <f t="shared" si="69"/>
        <v>2.3398675460263774</v>
      </c>
      <c r="AE304" s="43"/>
      <c r="AF304" s="1027">
        <f t="shared" si="70"/>
        <v>2.3398675460263774</v>
      </c>
      <c r="AG304" s="392">
        <f t="shared" si="71"/>
        <v>2.34</v>
      </c>
      <c r="AH304" s="392">
        <f>AG304+'TAR_Tab 14_Overige tarieven'!$AA$14+'TAR_Tab 14_Overige tarieven'!$AA$15</f>
        <v>2.52</v>
      </c>
      <c r="AI304" s="43"/>
    </row>
    <row r="305" spans="1:35">
      <c r="A305" s="96">
        <v>300813</v>
      </c>
      <c r="B305" s="1286" t="s">
        <v>404</v>
      </c>
      <c r="C305" s="1022"/>
      <c r="D305" s="1358"/>
      <c r="E305" s="1022"/>
      <c r="F305" s="1032">
        <v>2.1818117337600897</v>
      </c>
      <c r="G305" s="390">
        <f t="shared" si="62"/>
        <v>2.0762120458461015</v>
      </c>
      <c r="H305" s="390">
        <f t="shared" si="63"/>
        <v>2.1247352090271647</v>
      </c>
      <c r="I305" s="387"/>
      <c r="J305" s="388">
        <f t="shared" si="64"/>
        <v>2.0184984485758064</v>
      </c>
      <c r="K305" s="388">
        <f t="shared" si="65"/>
        <v>2.2309719694785231</v>
      </c>
      <c r="L305" s="1316">
        <v>2.1411622149079954</v>
      </c>
      <c r="M305" s="61" t="b">
        <f t="shared" si="61"/>
        <v>1</v>
      </c>
      <c r="N305" s="857">
        <f t="shared" si="66"/>
        <v>2.1411622149079954</v>
      </c>
      <c r="O305" s="15"/>
      <c r="P305" s="445">
        <f t="shared" si="72"/>
        <v>-9.9302519001573913E-2</v>
      </c>
      <c r="Q305" s="445">
        <f t="shared" si="73"/>
        <v>0.10275164658571417</v>
      </c>
      <c r="R305" s="445">
        <f t="shared" si="73"/>
        <v>0</v>
      </c>
      <c r="S305" s="445">
        <f t="shared" si="73"/>
        <v>3.870911612183954E-3</v>
      </c>
      <c r="T305" s="445">
        <f t="shared" si="73"/>
        <v>8.9649578146164519E-2</v>
      </c>
      <c r="U305" s="445">
        <f t="shared" si="73"/>
        <v>-1.173249366888153E-2</v>
      </c>
      <c r="V305" s="445">
        <f t="shared" si="73"/>
        <v>-4.4138965863518663E-4</v>
      </c>
      <c r="W305" s="445">
        <f t="shared" si="73"/>
        <v>-3.6495186439445389E-2</v>
      </c>
      <c r="X305" s="445">
        <f t="shared" si="73"/>
        <v>2.8795955837075766E-3</v>
      </c>
      <c r="Y305" s="43"/>
      <c r="Z305" s="388">
        <f t="shared" si="68"/>
        <v>2.1923423580672297</v>
      </c>
      <c r="AA305" s="43"/>
      <c r="AB305" s="462">
        <f>IF('TAR_Tab 2_Volumina'!C308="storage",1,0)</f>
        <v>0</v>
      </c>
      <c r="AC305" s="389">
        <f t="shared" si="67"/>
        <v>2.1923423580672297</v>
      </c>
      <c r="AD305" s="389">
        <f t="shared" si="69"/>
        <v>2.3398675460263774</v>
      </c>
      <c r="AE305" s="43"/>
      <c r="AF305" s="1027">
        <f t="shared" si="70"/>
        <v>2.3398675460263774</v>
      </c>
      <c r="AG305" s="392">
        <f t="shared" si="71"/>
        <v>2.34</v>
      </c>
      <c r="AH305" s="392">
        <f>AG305+'TAR_Tab 14_Overige tarieven'!$AA$14+'TAR_Tab 14_Overige tarieven'!$AA$15</f>
        <v>2.52</v>
      </c>
      <c r="AI305" s="43"/>
    </row>
    <row r="306" spans="1:35">
      <c r="A306" s="96">
        <v>300814</v>
      </c>
      <c r="B306" s="1286" t="s">
        <v>300</v>
      </c>
      <c r="C306" s="1022"/>
      <c r="D306" s="1358"/>
      <c r="E306" s="1022"/>
      <c r="F306" s="1032">
        <v>1.2453120226023722</v>
      </c>
      <c r="G306" s="390">
        <f t="shared" si="62"/>
        <v>1.1850389207084173</v>
      </c>
      <c r="H306" s="390">
        <f t="shared" si="63"/>
        <v>1.2127344718639412</v>
      </c>
      <c r="I306" s="387"/>
      <c r="J306" s="388">
        <f t="shared" si="64"/>
        <v>1.1520977482707442</v>
      </c>
      <c r="K306" s="388">
        <f t="shared" si="65"/>
        <v>1.2733711954571383</v>
      </c>
      <c r="L306" s="1316">
        <v>1.2221105090362703</v>
      </c>
      <c r="M306" s="61" t="b">
        <f t="shared" si="61"/>
        <v>1</v>
      </c>
      <c r="N306" s="857">
        <f t="shared" si="66"/>
        <v>1.2221105090362703</v>
      </c>
      <c r="O306" s="15"/>
      <c r="P306" s="445">
        <f t="shared" si="72"/>
        <v>-5.6678868700665963E-2</v>
      </c>
      <c r="Q306" s="445">
        <f t="shared" si="73"/>
        <v>5.8647526207433069E-2</v>
      </c>
      <c r="R306" s="445">
        <f t="shared" si="73"/>
        <v>0</v>
      </c>
      <c r="S306" s="445">
        <f t="shared" si="73"/>
        <v>2.2093990487328944E-3</v>
      </c>
      <c r="T306" s="445">
        <f t="shared" si="73"/>
        <v>5.1169262571637439E-2</v>
      </c>
      <c r="U306" s="445">
        <f t="shared" si="73"/>
        <v>-6.6965518586632354E-3</v>
      </c>
      <c r="V306" s="445">
        <f t="shared" si="73"/>
        <v>-2.5193184180170695E-4</v>
      </c>
      <c r="W306" s="445">
        <f t="shared" si="73"/>
        <v>-2.0830346512910363E-2</v>
      </c>
      <c r="X306" s="445">
        <f t="shared" si="73"/>
        <v>1.6435858993405037E-3</v>
      </c>
      <c r="Y306" s="43"/>
      <c r="Z306" s="388">
        <f t="shared" si="68"/>
        <v>1.2513225838493729</v>
      </c>
      <c r="AA306" s="43"/>
      <c r="AB306" s="462">
        <f>IF('TAR_Tab 2_Volumina'!C309="storage",1,0)</f>
        <v>0</v>
      </c>
      <c r="AC306" s="389">
        <f t="shared" si="67"/>
        <v>1.2513225838493729</v>
      </c>
      <c r="AD306" s="389">
        <f t="shared" si="69"/>
        <v>1.3355254907086145</v>
      </c>
      <c r="AE306" s="43"/>
      <c r="AF306" s="1027">
        <f t="shared" si="70"/>
        <v>1.3355254907086145</v>
      </c>
      <c r="AG306" s="392">
        <f t="shared" si="71"/>
        <v>1.3360000000000001</v>
      </c>
      <c r="AH306" s="392">
        <f>AG306+'TAR_Tab 14_Overige tarieven'!$AA$14+'TAR_Tab 14_Overige tarieven'!$AA$15</f>
        <v>1.516</v>
      </c>
      <c r="AI306" s="43"/>
    </row>
    <row r="307" spans="1:35">
      <c r="A307" s="96">
        <v>300816</v>
      </c>
      <c r="B307" s="1286" t="s">
        <v>405</v>
      </c>
      <c r="C307" s="1022"/>
      <c r="D307" s="1358"/>
      <c r="E307" s="1022"/>
      <c r="F307" s="1032">
        <v>1.2453120226023722</v>
      </c>
      <c r="G307" s="390">
        <f t="shared" si="62"/>
        <v>1.1850389207084173</v>
      </c>
      <c r="H307" s="390">
        <f t="shared" si="63"/>
        <v>1.2127344718639412</v>
      </c>
      <c r="I307" s="387"/>
      <c r="J307" s="388">
        <f t="shared" si="64"/>
        <v>1.1520977482707442</v>
      </c>
      <c r="K307" s="388">
        <f t="shared" si="65"/>
        <v>1.2733711954571383</v>
      </c>
      <c r="L307" s="1316">
        <v>1.1520977482707442</v>
      </c>
      <c r="M307" s="61" t="b">
        <f t="shared" si="61"/>
        <v>1</v>
      </c>
      <c r="N307" s="857">
        <f t="shared" si="66"/>
        <v>1.1520977482707442</v>
      </c>
      <c r="O307" s="15"/>
      <c r="P307" s="445">
        <f t="shared" si="72"/>
        <v>-5.3431826763411322E-2</v>
      </c>
      <c r="Q307" s="445">
        <f t="shared" si="73"/>
        <v>5.5287703023285104E-2</v>
      </c>
      <c r="R307" s="445">
        <f t="shared" si="73"/>
        <v>0</v>
      </c>
      <c r="S307" s="445">
        <f t="shared" si="73"/>
        <v>2.0828261030861875E-3</v>
      </c>
      <c r="T307" s="445">
        <f t="shared" si="73"/>
        <v>4.8237857177045484E-2</v>
      </c>
      <c r="U307" s="445">
        <f t="shared" si="73"/>
        <v>-6.312917089329447E-3</v>
      </c>
      <c r="V307" s="445">
        <f t="shared" si="73"/>
        <v>-2.3749906862868957E-4</v>
      </c>
      <c r="W307" s="445">
        <f t="shared" si="73"/>
        <v>-1.9637009203159663E-2</v>
      </c>
      <c r="X307" s="445">
        <f t="shared" si="73"/>
        <v>1.5494274860732272E-3</v>
      </c>
      <c r="Y307" s="43"/>
      <c r="Z307" s="388">
        <f t="shared" si="68"/>
        <v>1.179636309935705</v>
      </c>
      <c r="AA307" s="43"/>
      <c r="AB307" s="462">
        <f>IF('TAR_Tab 2_Volumina'!C310="storage",1,0)</f>
        <v>0</v>
      </c>
      <c r="AC307" s="389">
        <f t="shared" si="67"/>
        <v>1.179636309935705</v>
      </c>
      <c r="AD307" s="389">
        <f t="shared" si="69"/>
        <v>1.2590153666356456</v>
      </c>
      <c r="AE307" s="43"/>
      <c r="AF307" s="1027">
        <f t="shared" si="70"/>
        <v>1.2590153666356456</v>
      </c>
      <c r="AG307" s="392">
        <f t="shared" si="71"/>
        <v>1.2589999999999999</v>
      </c>
      <c r="AH307" s="392">
        <f>AG307+'TAR_Tab 14_Overige tarieven'!$AA$14+'TAR_Tab 14_Overige tarieven'!$AA$15</f>
        <v>1.4389999999999998</v>
      </c>
      <c r="AI307" s="43"/>
    </row>
    <row r="308" spans="1:35">
      <c r="A308" s="96">
        <v>300822</v>
      </c>
      <c r="B308" s="1286" t="s">
        <v>301</v>
      </c>
      <c r="C308" s="1022"/>
      <c r="D308" s="1358"/>
      <c r="E308" s="1022"/>
      <c r="F308" s="1032">
        <v>1.9628306294092832</v>
      </c>
      <c r="G308" s="390">
        <f t="shared" si="62"/>
        <v>1.8678296269458738</v>
      </c>
      <c r="H308" s="390">
        <f t="shared" si="63"/>
        <v>1.9114826834648597</v>
      </c>
      <c r="I308" s="387"/>
      <c r="J308" s="388">
        <f t="shared" si="64"/>
        <v>1.8159085492916167</v>
      </c>
      <c r="K308" s="388">
        <f t="shared" si="65"/>
        <v>2.007056817638103</v>
      </c>
      <c r="L308" s="1316">
        <v>1.9262609660240122</v>
      </c>
      <c r="M308" s="61" t="b">
        <f t="shared" si="61"/>
        <v>1</v>
      </c>
      <c r="N308" s="857">
        <f t="shared" si="66"/>
        <v>1.9262609660240122</v>
      </c>
      <c r="O308" s="15"/>
      <c r="P308" s="445">
        <f t="shared" si="72"/>
        <v>-8.9335859211773408E-2</v>
      </c>
      <c r="Q308" s="445">
        <f t="shared" si="73"/>
        <v>9.2438809462766683E-2</v>
      </c>
      <c r="R308" s="445">
        <f t="shared" si="73"/>
        <v>0</v>
      </c>
      <c r="S308" s="445">
        <f t="shared" si="73"/>
        <v>3.4824012349757567E-3</v>
      </c>
      <c r="T308" s="445">
        <f t="shared" si="73"/>
        <v>8.0651751558625542E-2</v>
      </c>
      <c r="U308" s="445">
        <f t="shared" si="73"/>
        <v>-1.055494274611111E-2</v>
      </c>
      <c r="V308" s="445">
        <f t="shared" si="73"/>
        <v>-3.9708886338261749E-4</v>
      </c>
      <c r="W308" s="445">
        <f t="shared" si="73"/>
        <v>-3.2832287342177496E-2</v>
      </c>
      <c r="X308" s="445">
        <f t="shared" ref="R308:X345" si="74">$N308*X$5</f>
        <v>2.5905802616031041E-3</v>
      </c>
      <c r="Y308" s="43"/>
      <c r="Z308" s="388">
        <f t="shared" si="68"/>
        <v>1.9723043303785386</v>
      </c>
      <c r="AA308" s="43"/>
      <c r="AB308" s="462">
        <f>IF('TAR_Tab 2_Volumina'!C311="storage",1,0)</f>
        <v>0</v>
      </c>
      <c r="AC308" s="389">
        <f t="shared" si="67"/>
        <v>1.9723043303785386</v>
      </c>
      <c r="AD308" s="389">
        <f t="shared" si="69"/>
        <v>2.1050229114801917</v>
      </c>
      <c r="AE308" s="43"/>
      <c r="AF308" s="1027">
        <f t="shared" si="70"/>
        <v>2.1050229114801917</v>
      </c>
      <c r="AG308" s="392">
        <f t="shared" si="71"/>
        <v>2.105</v>
      </c>
      <c r="AH308" s="392">
        <f>AG308+'TAR_Tab 14_Overige tarieven'!$AA$14+'TAR_Tab 14_Overige tarieven'!$AA$15</f>
        <v>2.2850000000000001</v>
      </c>
      <c r="AI308" s="43"/>
    </row>
    <row r="309" spans="1:35">
      <c r="A309" s="96">
        <v>300823</v>
      </c>
      <c r="B309" s="1286" t="s">
        <v>406</v>
      </c>
      <c r="C309" s="1022"/>
      <c r="D309" s="1358"/>
      <c r="E309" s="1022"/>
      <c r="F309" s="1032">
        <v>1.9628306294092832</v>
      </c>
      <c r="G309" s="390">
        <f t="shared" si="62"/>
        <v>1.8678296269458738</v>
      </c>
      <c r="H309" s="390">
        <f t="shared" si="63"/>
        <v>1.9114826834648597</v>
      </c>
      <c r="I309" s="387"/>
      <c r="J309" s="388">
        <f t="shared" si="64"/>
        <v>1.8159085492916167</v>
      </c>
      <c r="K309" s="388">
        <f t="shared" si="65"/>
        <v>2.007056817638103</v>
      </c>
      <c r="L309" s="1316">
        <v>1.9262609660240122</v>
      </c>
      <c r="M309" s="61" t="b">
        <f t="shared" si="61"/>
        <v>1</v>
      </c>
      <c r="N309" s="857">
        <f t="shared" si="66"/>
        <v>1.9262609660240122</v>
      </c>
      <c r="O309" s="15"/>
      <c r="P309" s="445">
        <f t="shared" si="72"/>
        <v>-8.9335859211773408E-2</v>
      </c>
      <c r="Q309" s="445">
        <f t="shared" ref="Q309:Q372" si="75">$N309*Q$5</f>
        <v>9.2438809462766683E-2</v>
      </c>
      <c r="R309" s="445">
        <f t="shared" si="74"/>
        <v>0</v>
      </c>
      <c r="S309" s="445">
        <f t="shared" si="74"/>
        <v>3.4824012349757567E-3</v>
      </c>
      <c r="T309" s="445">
        <f t="shared" si="74"/>
        <v>8.0651751558625542E-2</v>
      </c>
      <c r="U309" s="445">
        <f t="shared" si="74"/>
        <v>-1.055494274611111E-2</v>
      </c>
      <c r="V309" s="445">
        <f t="shared" si="74"/>
        <v>-3.9708886338261749E-4</v>
      </c>
      <c r="W309" s="445">
        <f t="shared" si="74"/>
        <v>-3.2832287342177496E-2</v>
      </c>
      <c r="X309" s="445">
        <f t="shared" si="74"/>
        <v>2.5905802616031041E-3</v>
      </c>
      <c r="Y309" s="43"/>
      <c r="Z309" s="388">
        <f t="shared" si="68"/>
        <v>1.9723043303785386</v>
      </c>
      <c r="AA309" s="43"/>
      <c r="AB309" s="462">
        <f>IF('TAR_Tab 2_Volumina'!C312="storage",1,0)</f>
        <v>0</v>
      </c>
      <c r="AC309" s="389">
        <f t="shared" si="67"/>
        <v>1.9723043303785386</v>
      </c>
      <c r="AD309" s="389">
        <f t="shared" si="69"/>
        <v>2.1050229114801917</v>
      </c>
      <c r="AE309" s="43"/>
      <c r="AF309" s="1027">
        <f t="shared" si="70"/>
        <v>2.1050229114801917</v>
      </c>
      <c r="AG309" s="392">
        <f t="shared" si="71"/>
        <v>2.105</v>
      </c>
      <c r="AH309" s="392">
        <f>AG309+'TAR_Tab 14_Overige tarieven'!$AA$14+'TAR_Tab 14_Overige tarieven'!$AA$15</f>
        <v>2.2850000000000001</v>
      </c>
      <c r="AI309" s="43"/>
    </row>
    <row r="310" spans="1:35">
      <c r="A310" s="96">
        <v>300825</v>
      </c>
      <c r="B310" s="1286" t="s">
        <v>407</v>
      </c>
      <c r="C310" s="1022"/>
      <c r="D310" s="1358"/>
      <c r="E310" s="1022"/>
      <c r="F310" s="1032">
        <v>1.1513996359253609</v>
      </c>
      <c r="G310" s="390">
        <f t="shared" si="62"/>
        <v>1.0956718935465735</v>
      </c>
      <c r="H310" s="390">
        <f t="shared" si="63"/>
        <v>1.1212788474171251</v>
      </c>
      <c r="I310" s="387"/>
      <c r="J310" s="388">
        <f t="shared" si="64"/>
        <v>1.0652149050462689</v>
      </c>
      <c r="K310" s="388">
        <f t="shared" si="65"/>
        <v>1.1773427897879813</v>
      </c>
      <c r="L310" s="1316">
        <v>1.1299478119743631</v>
      </c>
      <c r="M310" s="61" t="b">
        <f t="shared" ref="M310:M353" si="76">IF(L310&gt;0,AND(L310&gt;=J310,L310&lt;=K310),"")</f>
        <v>1</v>
      </c>
      <c r="N310" s="857">
        <f t="shared" si="66"/>
        <v>1.1299478119743631</v>
      </c>
      <c r="O310" s="15"/>
      <c r="P310" s="445">
        <f t="shared" si="72"/>
        <v>-5.2404560144076948E-2</v>
      </c>
      <c r="Q310" s="445">
        <f t="shared" si="75"/>
        <v>5.4224755802203289E-2</v>
      </c>
      <c r="R310" s="445">
        <f t="shared" si="74"/>
        <v>0</v>
      </c>
      <c r="S310" s="445">
        <f t="shared" si="74"/>
        <v>2.0427822217670504E-3</v>
      </c>
      <c r="T310" s="445">
        <f t="shared" si="74"/>
        <v>4.731044848698493E-2</v>
      </c>
      <c r="U310" s="445">
        <f t="shared" si="74"/>
        <v>-6.1915465618869068E-3</v>
      </c>
      <c r="V310" s="445">
        <f t="shared" si="74"/>
        <v>-2.3293297235042564E-4</v>
      </c>
      <c r="W310" s="445">
        <f t="shared" si="74"/>
        <v>-1.9259473092569836E-2</v>
      </c>
      <c r="X310" s="445">
        <f t="shared" si="74"/>
        <v>1.519638589980082E-3</v>
      </c>
      <c r="Y310" s="43"/>
      <c r="Z310" s="388">
        <f t="shared" si="68"/>
        <v>1.1569569243044144</v>
      </c>
      <c r="AA310" s="43"/>
      <c r="AB310" s="462">
        <f>IF('TAR_Tab 2_Volumina'!C313="storage",1,0)</f>
        <v>0</v>
      </c>
      <c r="AC310" s="389">
        <f t="shared" si="67"/>
        <v>1.1569569243044144</v>
      </c>
      <c r="AD310" s="389">
        <f t="shared" si="69"/>
        <v>1.2348098595864376</v>
      </c>
      <c r="AE310" s="43"/>
      <c r="AF310" s="1027">
        <f t="shared" si="70"/>
        <v>1.2348098595864376</v>
      </c>
      <c r="AG310" s="392">
        <f t="shared" si="71"/>
        <v>1.2350000000000001</v>
      </c>
      <c r="AH310" s="392">
        <f>AG310+'TAR_Tab 14_Overige tarieven'!$AA$14+'TAR_Tab 14_Overige tarieven'!$AA$15</f>
        <v>1.415</v>
      </c>
      <c r="AI310" s="43"/>
    </row>
    <row r="311" spans="1:35">
      <c r="A311" s="96">
        <v>300827</v>
      </c>
      <c r="B311" s="1286" t="s">
        <v>302</v>
      </c>
      <c r="C311" s="1022"/>
      <c r="D311" s="1358"/>
      <c r="E311" s="1022"/>
      <c r="F311" s="1032">
        <v>1.159886611128742</v>
      </c>
      <c r="G311" s="390">
        <f t="shared" si="62"/>
        <v>1.103748099150111</v>
      </c>
      <c r="H311" s="390">
        <f t="shared" si="63"/>
        <v>1.1295438020663915</v>
      </c>
      <c r="I311" s="387"/>
      <c r="J311" s="388">
        <f t="shared" si="64"/>
        <v>1.0730666119630718</v>
      </c>
      <c r="K311" s="388">
        <f t="shared" si="65"/>
        <v>1.1860209921697111</v>
      </c>
      <c r="L311" s="1316">
        <v>1.1382766656252798</v>
      </c>
      <c r="M311" s="61" t="b">
        <f t="shared" si="76"/>
        <v>1</v>
      </c>
      <c r="N311" s="857">
        <f t="shared" si="66"/>
        <v>1.1382766656252798</v>
      </c>
      <c r="O311" s="15"/>
      <c r="P311" s="445">
        <f t="shared" si="72"/>
        <v>-5.2790834543173341E-2</v>
      </c>
      <c r="Q311" s="445">
        <f t="shared" si="75"/>
        <v>5.4624446876912411E-2</v>
      </c>
      <c r="R311" s="445">
        <f t="shared" si="74"/>
        <v>0</v>
      </c>
      <c r="S311" s="445">
        <f t="shared" si="74"/>
        <v>2.0578395845810581E-3</v>
      </c>
      <c r="T311" s="445">
        <f t="shared" si="74"/>
        <v>4.7659174151508166E-2</v>
      </c>
      <c r="U311" s="445">
        <f t="shared" si="74"/>
        <v>-6.237184497232511E-3</v>
      </c>
      <c r="V311" s="445">
        <f t="shared" si="74"/>
        <v>-2.3464992300657129E-4</v>
      </c>
      <c r="W311" s="445">
        <f t="shared" si="74"/>
        <v>-1.9401434810696887E-2</v>
      </c>
      <c r="X311" s="445">
        <f t="shared" si="74"/>
        <v>1.5308398572280925E-3</v>
      </c>
      <c r="Y311" s="43"/>
      <c r="Z311" s="388">
        <f t="shared" si="68"/>
        <v>1.1654848623214003</v>
      </c>
      <c r="AA311" s="43"/>
      <c r="AB311" s="462">
        <f>IF('TAR_Tab 2_Volumina'!C314="storage",1,0)</f>
        <v>0</v>
      </c>
      <c r="AC311" s="389">
        <f t="shared" si="67"/>
        <v>1.1654848623214003</v>
      </c>
      <c r="AD311" s="389">
        <f t="shared" si="69"/>
        <v>1.2439116521632418</v>
      </c>
      <c r="AE311" s="43"/>
      <c r="AF311" s="1027">
        <f t="shared" si="70"/>
        <v>1.2439116521632418</v>
      </c>
      <c r="AG311" s="392">
        <f t="shared" si="71"/>
        <v>1.244</v>
      </c>
      <c r="AH311" s="392">
        <f>AG311+'TAR_Tab 14_Overige tarieven'!$AA$14+'TAR_Tab 14_Overige tarieven'!$AA$15</f>
        <v>1.4239999999999999</v>
      </c>
      <c r="AI311" s="43"/>
    </row>
    <row r="312" spans="1:35">
      <c r="A312" s="96">
        <v>300829</v>
      </c>
      <c r="B312" s="1286" t="s">
        <v>409</v>
      </c>
      <c r="C312" s="1022"/>
      <c r="D312" s="1358"/>
      <c r="E312" s="1022"/>
      <c r="F312" s="1032">
        <v>1.8125990752511381</v>
      </c>
      <c r="G312" s="390">
        <f t="shared" si="62"/>
        <v>1.7248692800089829</v>
      </c>
      <c r="H312" s="390">
        <f t="shared" si="63"/>
        <v>1.7651812094707786</v>
      </c>
      <c r="I312" s="387"/>
      <c r="J312" s="388">
        <f t="shared" si="64"/>
        <v>1.6769221489972397</v>
      </c>
      <c r="K312" s="388">
        <f t="shared" si="65"/>
        <v>1.8534402699443175</v>
      </c>
      <c r="L312" s="1316">
        <v>1.7788283886512775</v>
      </c>
      <c r="M312" s="61" t="b">
        <f t="shared" si="76"/>
        <v>1</v>
      </c>
      <c r="N312" s="857">
        <f t="shared" si="66"/>
        <v>1.7788283886512775</v>
      </c>
      <c r="O312" s="15"/>
      <c r="P312" s="445">
        <f t="shared" si="72"/>
        <v>-8.2498251946862791E-2</v>
      </c>
      <c r="Q312" s="445">
        <f t="shared" si="75"/>
        <v>8.5363707922141402E-2</v>
      </c>
      <c r="R312" s="445">
        <f t="shared" si="74"/>
        <v>0</v>
      </c>
      <c r="S312" s="445">
        <f t="shared" si="74"/>
        <v>3.2158644579895019E-3</v>
      </c>
      <c r="T312" s="445">
        <f t="shared" si="74"/>
        <v>7.4478810398707226E-2</v>
      </c>
      <c r="U312" s="445">
        <f t="shared" si="74"/>
        <v>-9.7470862611755103E-3</v>
      </c>
      <c r="V312" s="445">
        <f t="shared" si="74"/>
        <v>-3.666963902924582E-4</v>
      </c>
      <c r="W312" s="445">
        <f t="shared" si="74"/>
        <v>-3.0319362650622954E-2</v>
      </c>
      <c r="X312" s="445">
        <f t="shared" si="74"/>
        <v>2.3923018706707311E-3</v>
      </c>
      <c r="Y312" s="43"/>
      <c r="Z312" s="388">
        <f t="shared" si="68"/>
        <v>1.8213476760518326</v>
      </c>
      <c r="AA312" s="43"/>
      <c r="AB312" s="462">
        <f>IF('TAR_Tab 2_Volumina'!C315="storage",1,0)</f>
        <v>0</v>
      </c>
      <c r="AC312" s="389">
        <f t="shared" si="67"/>
        <v>1.8213476760518326</v>
      </c>
      <c r="AD312" s="389">
        <f t="shared" si="69"/>
        <v>1.9439082137615473</v>
      </c>
      <c r="AE312" s="43"/>
      <c r="AF312" s="1027">
        <f t="shared" si="70"/>
        <v>1.9439082137615473</v>
      </c>
      <c r="AG312" s="392">
        <f t="shared" si="71"/>
        <v>1.944</v>
      </c>
      <c r="AH312" s="392">
        <f>AG312+'TAR_Tab 14_Overige tarieven'!$AA$14+'TAR_Tab 14_Overige tarieven'!$AA$15</f>
        <v>2.1239999999999997</v>
      </c>
      <c r="AI312" s="43"/>
    </row>
    <row r="313" spans="1:35">
      <c r="A313" s="96">
        <v>300830</v>
      </c>
      <c r="B313" s="1286" t="s">
        <v>410</v>
      </c>
      <c r="C313" s="1022"/>
      <c r="D313" s="1358"/>
      <c r="E313" s="1022"/>
      <c r="F313" s="1032">
        <v>1.3833769581511097</v>
      </c>
      <c r="G313" s="390">
        <f t="shared" si="62"/>
        <v>1.316421513376596</v>
      </c>
      <c r="H313" s="390">
        <f t="shared" si="63"/>
        <v>1.3471876078304037</v>
      </c>
      <c r="I313" s="387"/>
      <c r="J313" s="388">
        <f t="shared" si="64"/>
        <v>1.2798282274388835</v>
      </c>
      <c r="K313" s="388">
        <f t="shared" si="65"/>
        <v>1.4145469882219239</v>
      </c>
      <c r="L313" s="1316">
        <v>1.3576031450994195</v>
      </c>
      <c r="M313" s="61" t="b">
        <f t="shared" si="76"/>
        <v>1</v>
      </c>
      <c r="N313" s="857">
        <f t="shared" si="66"/>
        <v>1.3576031450994195</v>
      </c>
      <c r="O313" s="15"/>
      <c r="P313" s="445">
        <f t="shared" si="72"/>
        <v>-6.2962727052711637E-2</v>
      </c>
      <c r="Q313" s="445">
        <f t="shared" si="75"/>
        <v>6.5149645177585799E-2</v>
      </c>
      <c r="R313" s="445">
        <f t="shared" si="74"/>
        <v>0</v>
      </c>
      <c r="S313" s="445">
        <f t="shared" si="74"/>
        <v>2.4543501386832629E-3</v>
      </c>
      <c r="T313" s="445">
        <f t="shared" si="74"/>
        <v>5.6842283317286579E-2</v>
      </c>
      <c r="U313" s="445">
        <f t="shared" si="74"/>
        <v>-7.4389834613334113E-3</v>
      </c>
      <c r="V313" s="445">
        <f t="shared" si="74"/>
        <v>-2.7986295695173999E-4</v>
      </c>
      <c r="W313" s="445">
        <f t="shared" si="74"/>
        <v>-2.3139760054709219E-2</v>
      </c>
      <c r="X313" s="445">
        <f t="shared" si="74"/>
        <v>1.825806561425701E-3</v>
      </c>
      <c r="Y313" s="43"/>
      <c r="Z313" s="388">
        <f t="shared" si="68"/>
        <v>1.3900538967686948</v>
      </c>
      <c r="AA313" s="43"/>
      <c r="AB313" s="462">
        <f>IF('TAR_Tab 2_Volumina'!C316="storage",1,0)</f>
        <v>0</v>
      </c>
      <c r="AC313" s="389">
        <f t="shared" si="67"/>
        <v>1.3900538967686948</v>
      </c>
      <c r="AD313" s="389">
        <f t="shared" si="69"/>
        <v>1.4835921900190865</v>
      </c>
      <c r="AE313" s="43"/>
      <c r="AF313" s="1027">
        <f t="shared" si="70"/>
        <v>1.4835921900190865</v>
      </c>
      <c r="AG313" s="392">
        <f t="shared" si="71"/>
        <v>1.484</v>
      </c>
      <c r="AH313" s="392">
        <f>AG313+'TAR_Tab 14_Overige tarieven'!$AA$14+'TAR_Tab 14_Overige tarieven'!$AA$15</f>
        <v>1.6639999999999999</v>
      </c>
      <c r="AI313" s="43"/>
    </row>
    <row r="314" spans="1:35">
      <c r="A314" s="96">
        <v>300840</v>
      </c>
      <c r="B314" s="1286" t="s">
        <v>652</v>
      </c>
      <c r="C314" s="1022"/>
      <c r="D314" s="1358"/>
      <c r="E314" s="1022"/>
      <c r="F314" s="1032">
        <v>1.8125990752511381</v>
      </c>
      <c r="G314" s="390">
        <f t="shared" si="62"/>
        <v>1.7248692800089829</v>
      </c>
      <c r="H314" s="390">
        <f t="shared" si="63"/>
        <v>1.7651812094707786</v>
      </c>
      <c r="I314" s="387"/>
      <c r="J314" s="388">
        <f t="shared" si="64"/>
        <v>1.6769221489972397</v>
      </c>
      <c r="K314" s="388">
        <f t="shared" si="65"/>
        <v>1.8534402699443175</v>
      </c>
      <c r="L314" s="1316">
        <v>1.7788283886512775</v>
      </c>
      <c r="M314" s="61" t="b">
        <f t="shared" si="76"/>
        <v>1</v>
      </c>
      <c r="N314" s="857">
        <f t="shared" si="66"/>
        <v>1.7788283886512775</v>
      </c>
      <c r="O314" s="15"/>
      <c r="P314" s="445">
        <f t="shared" si="72"/>
        <v>-8.2498251946862791E-2</v>
      </c>
      <c r="Q314" s="445">
        <f t="shared" si="75"/>
        <v>8.5363707922141402E-2</v>
      </c>
      <c r="R314" s="445">
        <f t="shared" si="74"/>
        <v>0</v>
      </c>
      <c r="S314" s="445">
        <f t="shared" si="74"/>
        <v>3.2158644579895019E-3</v>
      </c>
      <c r="T314" s="445">
        <f t="shared" si="74"/>
        <v>7.4478810398707226E-2</v>
      </c>
      <c r="U314" s="445">
        <f t="shared" si="74"/>
        <v>-9.7470862611755103E-3</v>
      </c>
      <c r="V314" s="445">
        <f t="shared" si="74"/>
        <v>-3.666963902924582E-4</v>
      </c>
      <c r="W314" s="445">
        <f t="shared" si="74"/>
        <v>-3.0319362650622954E-2</v>
      </c>
      <c r="X314" s="445">
        <f t="shared" si="74"/>
        <v>2.3923018706707311E-3</v>
      </c>
      <c r="Y314" s="43"/>
      <c r="Z314" s="388">
        <f t="shared" si="68"/>
        <v>1.8213476760518326</v>
      </c>
      <c r="AA314" s="43"/>
      <c r="AB314" s="462">
        <f>IF('TAR_Tab 2_Volumina'!C317="storage",1,0)</f>
        <v>0</v>
      </c>
      <c r="AC314" s="389">
        <f t="shared" si="67"/>
        <v>1.8213476760518326</v>
      </c>
      <c r="AD314" s="389">
        <f t="shared" si="69"/>
        <v>1.9439082137615473</v>
      </c>
      <c r="AE314" s="43"/>
      <c r="AF314" s="1027">
        <f t="shared" si="70"/>
        <v>1.9439082137615473</v>
      </c>
      <c r="AG314" s="392">
        <f t="shared" si="71"/>
        <v>1.944</v>
      </c>
      <c r="AH314" s="392">
        <f>AG314+'TAR_Tab 14_Overige tarieven'!$AA$14+'TAR_Tab 14_Overige tarieven'!$AA$15</f>
        <v>2.1239999999999997</v>
      </c>
      <c r="AI314" s="43"/>
    </row>
    <row r="315" spans="1:35">
      <c r="A315" s="96">
        <v>300843</v>
      </c>
      <c r="B315" s="1286" t="s">
        <v>411</v>
      </c>
      <c r="C315" s="1022"/>
      <c r="D315" s="1358"/>
      <c r="E315" s="1022"/>
      <c r="F315" s="1032">
        <v>1.2453120226023722</v>
      </c>
      <c r="G315" s="390">
        <f t="shared" si="62"/>
        <v>1.1850389207084173</v>
      </c>
      <c r="H315" s="390">
        <f t="shared" si="63"/>
        <v>1.2127344718639412</v>
      </c>
      <c r="I315" s="387"/>
      <c r="J315" s="388">
        <f t="shared" si="64"/>
        <v>1.1520977482707442</v>
      </c>
      <c r="K315" s="388">
        <f t="shared" si="65"/>
        <v>1.2733711954571383</v>
      </c>
      <c r="L315" s="1316">
        <v>1.2221105090362703</v>
      </c>
      <c r="M315" s="61" t="b">
        <f t="shared" si="76"/>
        <v>1</v>
      </c>
      <c r="N315" s="857">
        <f t="shared" si="66"/>
        <v>1.2221105090362703</v>
      </c>
      <c r="O315" s="15"/>
      <c r="P315" s="445">
        <f t="shared" si="72"/>
        <v>-5.6678868700665963E-2</v>
      </c>
      <c r="Q315" s="445">
        <f t="shared" si="75"/>
        <v>5.8647526207433069E-2</v>
      </c>
      <c r="R315" s="445">
        <f t="shared" si="74"/>
        <v>0</v>
      </c>
      <c r="S315" s="445">
        <f t="shared" si="74"/>
        <v>2.2093990487328944E-3</v>
      </c>
      <c r="T315" s="445">
        <f t="shared" si="74"/>
        <v>5.1169262571637439E-2</v>
      </c>
      <c r="U315" s="445">
        <f t="shared" si="74"/>
        <v>-6.6965518586632354E-3</v>
      </c>
      <c r="V315" s="445">
        <f t="shared" si="74"/>
        <v>-2.5193184180170695E-4</v>
      </c>
      <c r="W315" s="445">
        <f t="shared" si="74"/>
        <v>-2.0830346512910363E-2</v>
      </c>
      <c r="X315" s="445">
        <f t="shared" si="74"/>
        <v>1.6435858993405037E-3</v>
      </c>
      <c r="Y315" s="43"/>
      <c r="Z315" s="388">
        <f t="shared" si="68"/>
        <v>1.2513225838493729</v>
      </c>
      <c r="AA315" s="43"/>
      <c r="AB315" s="462">
        <f>IF('TAR_Tab 2_Volumina'!C318="storage",1,0)</f>
        <v>0</v>
      </c>
      <c r="AC315" s="389">
        <f t="shared" si="67"/>
        <v>1.2513225838493729</v>
      </c>
      <c r="AD315" s="389">
        <f t="shared" si="69"/>
        <v>1.3355254907086145</v>
      </c>
      <c r="AE315" s="43"/>
      <c r="AF315" s="1027">
        <f t="shared" si="70"/>
        <v>1.3355254907086145</v>
      </c>
      <c r="AG315" s="392">
        <f t="shared" si="71"/>
        <v>1.3360000000000001</v>
      </c>
      <c r="AH315" s="392">
        <f>AG315+'TAR_Tab 14_Overige tarieven'!$AA$14+'TAR_Tab 14_Overige tarieven'!$AA$15</f>
        <v>1.516</v>
      </c>
      <c r="AI315" s="43"/>
    </row>
    <row r="316" spans="1:35">
      <c r="A316" s="96">
        <v>300844</v>
      </c>
      <c r="B316" s="1286" t="s">
        <v>412</v>
      </c>
      <c r="C316" s="1022"/>
      <c r="D316" s="1358"/>
      <c r="E316" s="1022"/>
      <c r="F316" s="1032">
        <v>1.8809153399571279</v>
      </c>
      <c r="G316" s="390">
        <f t="shared" si="62"/>
        <v>1.789879037503203</v>
      </c>
      <c r="H316" s="390">
        <f t="shared" si="63"/>
        <v>1.8317103103661532</v>
      </c>
      <c r="I316" s="387"/>
      <c r="J316" s="388">
        <f t="shared" si="64"/>
        <v>1.7401247948478453</v>
      </c>
      <c r="K316" s="388">
        <f t="shared" si="65"/>
        <v>1.923295825884461</v>
      </c>
      <c r="L316" s="1316">
        <v>1.8458718472543849</v>
      </c>
      <c r="M316" s="61" t="b">
        <f t="shared" si="76"/>
        <v>1</v>
      </c>
      <c r="N316" s="857">
        <f t="shared" si="66"/>
        <v>1.8458718472543849</v>
      </c>
      <c r="O316" s="15"/>
      <c r="P316" s="445">
        <f t="shared" si="72"/>
        <v>-8.5607584007513032E-2</v>
      </c>
      <c r="Q316" s="445">
        <f t="shared" si="75"/>
        <v>8.8581038078776209E-2</v>
      </c>
      <c r="R316" s="445">
        <f t="shared" si="74"/>
        <v>0</v>
      </c>
      <c r="S316" s="445">
        <f t="shared" si="74"/>
        <v>3.3370693347712895E-3</v>
      </c>
      <c r="T316" s="445">
        <f t="shared" si="74"/>
        <v>7.728589233737608E-2</v>
      </c>
      <c r="U316" s="445">
        <f t="shared" si="74"/>
        <v>-1.0114450745811103E-2</v>
      </c>
      <c r="V316" s="445">
        <f t="shared" si="74"/>
        <v>-3.8051705698483181E-4</v>
      </c>
      <c r="W316" s="445">
        <f t="shared" si="74"/>
        <v>-3.1462089485717409E-2</v>
      </c>
      <c r="X316" s="445">
        <f t="shared" si="74"/>
        <v>2.482466943623079E-3</v>
      </c>
      <c r="Y316" s="43"/>
      <c r="Z316" s="388">
        <f t="shared" si="68"/>
        <v>1.8899936726529052</v>
      </c>
      <c r="AA316" s="43"/>
      <c r="AB316" s="462">
        <f>IF('TAR_Tab 2_Volumina'!C319="storage",1,0)</f>
        <v>0</v>
      </c>
      <c r="AC316" s="389">
        <f t="shared" si="67"/>
        <v>1.8899936726529052</v>
      </c>
      <c r="AD316" s="389">
        <f t="shared" si="69"/>
        <v>2.0171734768352816</v>
      </c>
      <c r="AE316" s="43"/>
      <c r="AF316" s="1027">
        <f t="shared" si="70"/>
        <v>2.0171734768352816</v>
      </c>
      <c r="AG316" s="392">
        <f t="shared" si="71"/>
        <v>2.0169999999999999</v>
      </c>
      <c r="AH316" s="392">
        <f>AG316+'TAR_Tab 14_Overige tarieven'!$AA$14+'TAR_Tab 14_Overige tarieven'!$AA$15</f>
        <v>2.1970000000000001</v>
      </c>
      <c r="AI316" s="43"/>
    </row>
    <row r="317" spans="1:35">
      <c r="A317" s="96">
        <v>300846</v>
      </c>
      <c r="B317" s="1286" t="s">
        <v>413</v>
      </c>
      <c r="C317" s="1022"/>
      <c r="D317" s="1358"/>
      <c r="E317" s="1022"/>
      <c r="F317" s="1032">
        <v>1.133482688273779</v>
      </c>
      <c r="G317" s="390">
        <f t="shared" si="62"/>
        <v>1.078622126161328</v>
      </c>
      <c r="H317" s="390">
        <f t="shared" si="63"/>
        <v>1.1038306098242299</v>
      </c>
      <c r="I317" s="387"/>
      <c r="J317" s="388">
        <f t="shared" si="64"/>
        <v>1.0486390793330183</v>
      </c>
      <c r="K317" s="388">
        <f t="shared" si="65"/>
        <v>1.1590221403154415</v>
      </c>
      <c r="L317" s="1316">
        <v>1.1123646764890949</v>
      </c>
      <c r="M317" s="61" t="b">
        <f t="shared" si="76"/>
        <v>1</v>
      </c>
      <c r="N317" s="857">
        <f t="shared" si="66"/>
        <v>1.1123646764890949</v>
      </c>
      <c r="O317" s="15"/>
      <c r="P317" s="445">
        <f t="shared" si="72"/>
        <v>-5.1589091968206803E-2</v>
      </c>
      <c r="Q317" s="445">
        <f t="shared" si="75"/>
        <v>5.3380963533372953E-2</v>
      </c>
      <c r="R317" s="445">
        <f t="shared" si="74"/>
        <v>0</v>
      </c>
      <c r="S317" s="445">
        <f t="shared" si="74"/>
        <v>2.0109944558263679E-3</v>
      </c>
      <c r="T317" s="445">
        <f t="shared" si="74"/>
        <v>4.6574249861880343E-2</v>
      </c>
      <c r="U317" s="445">
        <f t="shared" si="74"/>
        <v>-6.0951998094906342E-3</v>
      </c>
      <c r="V317" s="445">
        <f t="shared" si="74"/>
        <v>-2.2930829874300712E-4</v>
      </c>
      <c r="W317" s="445">
        <f t="shared" si="74"/>
        <v>-1.8959776132079401E-2</v>
      </c>
      <c r="X317" s="445">
        <f t="shared" si="74"/>
        <v>1.4959914702342826E-3</v>
      </c>
      <c r="Y317" s="43"/>
      <c r="Z317" s="388">
        <f t="shared" si="68"/>
        <v>1.1389534996018891</v>
      </c>
      <c r="AA317" s="43"/>
      <c r="AB317" s="462">
        <f>IF('TAR_Tab 2_Volumina'!C320="storage",1,0)</f>
        <v>0</v>
      </c>
      <c r="AC317" s="389">
        <f t="shared" si="67"/>
        <v>1.1389534996018891</v>
      </c>
      <c r="AD317" s="389">
        <f t="shared" si="69"/>
        <v>1.215594964146518</v>
      </c>
      <c r="AE317" s="43"/>
      <c r="AF317" s="1027">
        <f t="shared" si="70"/>
        <v>1.215594964146518</v>
      </c>
      <c r="AG317" s="392">
        <f t="shared" si="71"/>
        <v>1.216</v>
      </c>
      <c r="AH317" s="392">
        <f>AG317+'TAR_Tab 14_Overige tarieven'!$AA$14+'TAR_Tab 14_Overige tarieven'!$AA$15</f>
        <v>1.3959999999999999</v>
      </c>
      <c r="AI317" s="43"/>
    </row>
    <row r="318" spans="1:35">
      <c r="A318" s="96">
        <v>300847</v>
      </c>
      <c r="B318" s="1286" t="s">
        <v>414</v>
      </c>
      <c r="C318" s="1022"/>
      <c r="D318" s="1358"/>
      <c r="E318" s="1022"/>
      <c r="F318" s="1032">
        <v>1.3833769581511097</v>
      </c>
      <c r="G318" s="390">
        <f t="shared" si="62"/>
        <v>1.316421513376596</v>
      </c>
      <c r="H318" s="390">
        <f t="shared" si="63"/>
        <v>1.3471876078304037</v>
      </c>
      <c r="I318" s="387"/>
      <c r="J318" s="388">
        <f t="shared" si="64"/>
        <v>1.2798282274388835</v>
      </c>
      <c r="K318" s="388">
        <f t="shared" si="65"/>
        <v>1.4145469882219239</v>
      </c>
      <c r="L318" s="1316">
        <v>1.3576031450994195</v>
      </c>
      <c r="M318" s="61" t="b">
        <f t="shared" si="76"/>
        <v>1</v>
      </c>
      <c r="N318" s="857">
        <f t="shared" si="66"/>
        <v>1.3576031450994195</v>
      </c>
      <c r="O318" s="15"/>
      <c r="P318" s="445">
        <f t="shared" si="72"/>
        <v>-6.2962727052711637E-2</v>
      </c>
      <c r="Q318" s="445">
        <f t="shared" si="75"/>
        <v>6.5149645177585799E-2</v>
      </c>
      <c r="R318" s="445">
        <f t="shared" si="74"/>
        <v>0</v>
      </c>
      <c r="S318" s="445">
        <f t="shared" si="74"/>
        <v>2.4543501386832629E-3</v>
      </c>
      <c r="T318" s="445">
        <f t="shared" si="74"/>
        <v>5.6842283317286579E-2</v>
      </c>
      <c r="U318" s="445">
        <f t="shared" si="74"/>
        <v>-7.4389834613334113E-3</v>
      </c>
      <c r="V318" s="445">
        <f t="shared" si="74"/>
        <v>-2.7986295695173999E-4</v>
      </c>
      <c r="W318" s="445">
        <f t="shared" si="74"/>
        <v>-2.3139760054709219E-2</v>
      </c>
      <c r="X318" s="445">
        <f t="shared" si="74"/>
        <v>1.825806561425701E-3</v>
      </c>
      <c r="Y318" s="43"/>
      <c r="Z318" s="388">
        <f t="shared" si="68"/>
        <v>1.3900538967686948</v>
      </c>
      <c r="AA318" s="43"/>
      <c r="AB318" s="462">
        <f>IF('TAR_Tab 2_Volumina'!C321="storage",1,0)</f>
        <v>0</v>
      </c>
      <c r="AC318" s="389">
        <f t="shared" si="67"/>
        <v>1.3900538967686948</v>
      </c>
      <c r="AD318" s="389">
        <f t="shared" si="69"/>
        <v>1.4835921900190865</v>
      </c>
      <c r="AE318" s="43"/>
      <c r="AF318" s="1027">
        <f t="shared" si="70"/>
        <v>1.4835921900190865</v>
      </c>
      <c r="AG318" s="392">
        <f t="shared" si="71"/>
        <v>1.484</v>
      </c>
      <c r="AH318" s="392">
        <f>AG318+'TAR_Tab 14_Overige tarieven'!$AA$14+'TAR_Tab 14_Overige tarieven'!$AA$15</f>
        <v>1.6639999999999999</v>
      </c>
      <c r="AI318" s="43"/>
    </row>
    <row r="319" spans="1:35">
      <c r="A319" s="96">
        <v>300851</v>
      </c>
      <c r="B319" s="1286" t="s">
        <v>416</v>
      </c>
      <c r="C319" s="1022"/>
      <c r="D319" s="1358"/>
      <c r="E319" s="1022"/>
      <c r="F319" s="1032">
        <v>1.2361999834125987</v>
      </c>
      <c r="G319" s="390">
        <f t="shared" si="62"/>
        <v>1.1763679042154289</v>
      </c>
      <c r="H319" s="390">
        <f t="shared" si="63"/>
        <v>1.2038608049966442</v>
      </c>
      <c r="I319" s="387"/>
      <c r="J319" s="388">
        <f t="shared" si="64"/>
        <v>1.1436677647468119</v>
      </c>
      <c r="K319" s="388">
        <f t="shared" si="65"/>
        <v>1.2640538452464765</v>
      </c>
      <c r="L319" s="1316">
        <v>1.2131682370189318</v>
      </c>
      <c r="M319" s="61" t="b">
        <f t="shared" si="76"/>
        <v>1</v>
      </c>
      <c r="N319" s="857">
        <f t="shared" si="66"/>
        <v>1.2131682370189318</v>
      </c>
      <c r="O319" s="15"/>
      <c r="P319" s="445">
        <f t="shared" si="72"/>
        <v>-5.6264145271148903E-2</v>
      </c>
      <c r="Q319" s="445">
        <f t="shared" si="75"/>
        <v>5.8218397966890885E-2</v>
      </c>
      <c r="R319" s="445">
        <f t="shared" si="74"/>
        <v>0</v>
      </c>
      <c r="S319" s="445">
        <f t="shared" si="74"/>
        <v>2.193232714229971E-3</v>
      </c>
      <c r="T319" s="445">
        <f t="shared" si="74"/>
        <v>5.0794853333308389E-2</v>
      </c>
      <c r="U319" s="445">
        <f t="shared" si="74"/>
        <v>-6.6475526987217976E-3</v>
      </c>
      <c r="V319" s="445">
        <f t="shared" si="74"/>
        <v>-2.5008843808120665E-4</v>
      </c>
      <c r="W319" s="445">
        <f t="shared" si="74"/>
        <v>-2.0677929343303706E-2</v>
      </c>
      <c r="X319" s="445">
        <f t="shared" si="74"/>
        <v>1.6315596610526465E-3</v>
      </c>
      <c r="Y319" s="43"/>
      <c r="Z319" s="388">
        <f t="shared" si="68"/>
        <v>1.2421665649431581</v>
      </c>
      <c r="AA319" s="43"/>
      <c r="AB319" s="462">
        <f>IF('TAR_Tab 2_Volumina'!C322="storage",1,0)</f>
        <v>0</v>
      </c>
      <c r="AC319" s="389">
        <f t="shared" si="67"/>
        <v>1.2421665649431581</v>
      </c>
      <c r="AD319" s="389">
        <f t="shared" si="69"/>
        <v>1.3257533529717225</v>
      </c>
      <c r="AE319" s="43"/>
      <c r="AF319" s="1027">
        <f t="shared" si="70"/>
        <v>1.3257533529717225</v>
      </c>
      <c r="AG319" s="392">
        <f t="shared" si="71"/>
        <v>1.3260000000000001</v>
      </c>
      <c r="AH319" s="392">
        <f>AG319+'TAR_Tab 14_Overige tarieven'!$AA$14+'TAR_Tab 14_Overige tarieven'!$AA$15</f>
        <v>1.506</v>
      </c>
      <c r="AI319" s="43"/>
    </row>
    <row r="320" spans="1:35">
      <c r="A320" s="96">
        <v>300852</v>
      </c>
      <c r="B320" s="1286" t="s">
        <v>417</v>
      </c>
      <c r="C320" s="1022"/>
      <c r="D320" s="1358"/>
      <c r="E320" s="1022"/>
      <c r="F320" s="1032">
        <v>1.3230251344826223</v>
      </c>
      <c r="G320" s="390">
        <f t="shared" si="62"/>
        <v>1.2589907179736632</v>
      </c>
      <c r="H320" s="390">
        <f t="shared" si="63"/>
        <v>1.2884145969911769</v>
      </c>
      <c r="I320" s="387"/>
      <c r="J320" s="388">
        <f t="shared" si="64"/>
        <v>1.223993867141618</v>
      </c>
      <c r="K320" s="388">
        <f t="shared" si="65"/>
        <v>1.3528353268407358</v>
      </c>
      <c r="L320" s="1316">
        <v>1.314140764897443</v>
      </c>
      <c r="M320" s="61" t="b">
        <f t="shared" si="76"/>
        <v>1</v>
      </c>
      <c r="N320" s="857">
        <f t="shared" si="66"/>
        <v>1.314140764897443</v>
      </c>
      <c r="O320" s="15"/>
      <c r="P320" s="445">
        <f t="shared" si="72"/>
        <v>-6.0947034917939936E-2</v>
      </c>
      <c r="Q320" s="445">
        <f t="shared" si="75"/>
        <v>6.3063940928186207E-2</v>
      </c>
      <c r="R320" s="445">
        <f t="shared" si="74"/>
        <v>0</v>
      </c>
      <c r="S320" s="445">
        <f t="shared" si="74"/>
        <v>2.3757764411625384E-3</v>
      </c>
      <c r="T320" s="445">
        <f t="shared" si="74"/>
        <v>5.5022531397881991E-2</v>
      </c>
      <c r="U320" s="445">
        <f t="shared" si="74"/>
        <v>-7.2008314441700961E-3</v>
      </c>
      <c r="V320" s="445">
        <f t="shared" si="74"/>
        <v>-2.7090340917565177E-4</v>
      </c>
      <c r="W320" s="445">
        <f t="shared" si="74"/>
        <v>-2.2398962530108146E-2</v>
      </c>
      <c r="X320" s="445">
        <f t="shared" si="74"/>
        <v>1.7673550918379992E-3</v>
      </c>
      <c r="Y320" s="43"/>
      <c r="Z320" s="388">
        <f t="shared" si="68"/>
        <v>1.345552636455118</v>
      </c>
      <c r="AA320" s="43"/>
      <c r="AB320" s="462">
        <f>IF('TAR_Tab 2_Volumina'!C323="storage",1,0)</f>
        <v>0</v>
      </c>
      <c r="AC320" s="389">
        <f t="shared" si="67"/>
        <v>1.345552636455118</v>
      </c>
      <c r="AD320" s="389">
        <f t="shared" si="69"/>
        <v>1.4360963897478147</v>
      </c>
      <c r="AE320" s="43"/>
      <c r="AF320" s="1027">
        <f t="shared" si="70"/>
        <v>1.4360963897478147</v>
      </c>
      <c r="AG320" s="392">
        <f t="shared" si="71"/>
        <v>1.4359999999999999</v>
      </c>
      <c r="AH320" s="392">
        <f>AG320+'TAR_Tab 14_Overige tarieven'!$AA$14+'TAR_Tab 14_Overige tarieven'!$AA$15</f>
        <v>1.6159999999999999</v>
      </c>
      <c r="AI320" s="43"/>
    </row>
    <row r="321" spans="1:35">
      <c r="A321" s="96">
        <v>300854</v>
      </c>
      <c r="B321" s="1286" t="s">
        <v>418</v>
      </c>
      <c r="C321" s="1022"/>
      <c r="D321" s="1358"/>
      <c r="E321" s="1022"/>
      <c r="F321" s="1032">
        <v>0.71007692534954714</v>
      </c>
      <c r="G321" s="390">
        <f t="shared" si="62"/>
        <v>0.67570920216262909</v>
      </c>
      <c r="H321" s="390">
        <f t="shared" si="63"/>
        <v>0.69150120565527895</v>
      </c>
      <c r="I321" s="387"/>
      <c r="J321" s="388">
        <f t="shared" si="64"/>
        <v>0.65692614537251492</v>
      </c>
      <c r="K321" s="388">
        <f t="shared" si="65"/>
        <v>0.72607626593804298</v>
      </c>
      <c r="L321" s="1316">
        <v>0.69684742212669604</v>
      </c>
      <c r="M321" s="61" t="b">
        <f t="shared" si="76"/>
        <v>1</v>
      </c>
      <c r="N321" s="857">
        <f t="shared" si="66"/>
        <v>0.69684742212669604</v>
      </c>
      <c r="O321" s="15"/>
      <c r="P321" s="445">
        <f t="shared" si="72"/>
        <v>-3.2318291391064673E-2</v>
      </c>
      <c r="Q321" s="445">
        <f t="shared" si="75"/>
        <v>3.344081991732932E-2</v>
      </c>
      <c r="R321" s="445">
        <f t="shared" si="74"/>
        <v>0</v>
      </c>
      <c r="S321" s="445">
        <f t="shared" si="74"/>
        <v>1.2597993554386484E-3</v>
      </c>
      <c r="T321" s="445">
        <f t="shared" si="74"/>
        <v>2.9176713931776961E-2</v>
      </c>
      <c r="U321" s="445">
        <f t="shared" si="74"/>
        <v>-3.8183739239155147E-3</v>
      </c>
      <c r="V321" s="445">
        <f t="shared" si="74"/>
        <v>-1.4365153823085226E-4</v>
      </c>
      <c r="W321" s="445">
        <f t="shared" si="74"/>
        <v>-1.1877463749963221E-2</v>
      </c>
      <c r="X321" s="445">
        <f t="shared" si="74"/>
        <v>9.3717269308354E-4</v>
      </c>
      <c r="Y321" s="43"/>
      <c r="Z321" s="388">
        <f t="shared" si="68"/>
        <v>0.7135041474211502</v>
      </c>
      <c r="AA321" s="43"/>
      <c r="AB321" s="462">
        <f>IF('TAR_Tab 2_Volumina'!C324="storage",1,0)</f>
        <v>0</v>
      </c>
      <c r="AC321" s="389">
        <f t="shared" si="67"/>
        <v>0.7135041474211502</v>
      </c>
      <c r="AD321" s="389">
        <f t="shared" si="69"/>
        <v>0.76151664559261911</v>
      </c>
      <c r="AE321" s="43"/>
      <c r="AF321" s="1027">
        <f t="shared" si="70"/>
        <v>0.76151664559261911</v>
      </c>
      <c r="AG321" s="392">
        <f t="shared" si="71"/>
        <v>0.76200000000000001</v>
      </c>
      <c r="AH321" s="392">
        <f>AG321+'TAR_Tab 14_Overige tarieven'!$AA$14+'TAR_Tab 14_Overige tarieven'!$AA$15</f>
        <v>0.94200000000000006</v>
      </c>
      <c r="AI321" s="43"/>
    </row>
    <row r="322" spans="1:35">
      <c r="A322" s="96">
        <v>300855</v>
      </c>
      <c r="B322" s="1286" t="s">
        <v>303</v>
      </c>
      <c r="C322" s="1022"/>
      <c r="D322" s="1358"/>
      <c r="E322" s="1022"/>
      <c r="F322" s="1032">
        <v>1.159886611128742</v>
      </c>
      <c r="G322" s="390">
        <f t="shared" si="62"/>
        <v>1.103748099150111</v>
      </c>
      <c r="H322" s="390">
        <f t="shared" si="63"/>
        <v>1.1295438020663915</v>
      </c>
      <c r="I322" s="387"/>
      <c r="J322" s="388">
        <f t="shared" si="64"/>
        <v>1.0730666119630718</v>
      </c>
      <c r="K322" s="388">
        <f t="shared" si="65"/>
        <v>1.1860209921697111</v>
      </c>
      <c r="L322" s="1316">
        <v>1.1382766656252798</v>
      </c>
      <c r="M322" s="61" t="b">
        <f t="shared" si="76"/>
        <v>1</v>
      </c>
      <c r="N322" s="857">
        <f t="shared" si="66"/>
        <v>1.1382766656252798</v>
      </c>
      <c r="O322" s="15"/>
      <c r="P322" s="445">
        <f t="shared" si="72"/>
        <v>-5.2790834543173341E-2</v>
      </c>
      <c r="Q322" s="445">
        <f t="shared" si="75"/>
        <v>5.4624446876912411E-2</v>
      </c>
      <c r="R322" s="445">
        <f t="shared" si="74"/>
        <v>0</v>
      </c>
      <c r="S322" s="445">
        <f t="shared" si="74"/>
        <v>2.0578395845810581E-3</v>
      </c>
      <c r="T322" s="445">
        <f t="shared" si="74"/>
        <v>4.7659174151508166E-2</v>
      </c>
      <c r="U322" s="445">
        <f t="shared" si="74"/>
        <v>-6.237184497232511E-3</v>
      </c>
      <c r="V322" s="445">
        <f t="shared" si="74"/>
        <v>-2.3464992300657129E-4</v>
      </c>
      <c r="W322" s="445">
        <f t="shared" si="74"/>
        <v>-1.9401434810696887E-2</v>
      </c>
      <c r="X322" s="445">
        <f t="shared" si="74"/>
        <v>1.5308398572280925E-3</v>
      </c>
      <c r="Y322" s="43"/>
      <c r="Z322" s="388">
        <f t="shared" si="68"/>
        <v>1.1654848623214003</v>
      </c>
      <c r="AA322" s="43"/>
      <c r="AB322" s="462">
        <f>IF('TAR_Tab 2_Volumina'!C325="storage",1,0)</f>
        <v>0</v>
      </c>
      <c r="AC322" s="389">
        <f t="shared" si="67"/>
        <v>1.1654848623214003</v>
      </c>
      <c r="AD322" s="389">
        <f t="shared" si="69"/>
        <v>1.2439116521632418</v>
      </c>
      <c r="AE322" s="43"/>
      <c r="AF322" s="1027">
        <f t="shared" si="70"/>
        <v>1.2439116521632418</v>
      </c>
      <c r="AG322" s="392">
        <f t="shared" si="71"/>
        <v>1.244</v>
      </c>
      <c r="AH322" s="392">
        <f>AG322+'TAR_Tab 14_Overige tarieven'!$AA$14+'TAR_Tab 14_Overige tarieven'!$AA$15</f>
        <v>1.4239999999999999</v>
      </c>
      <c r="AI322" s="43"/>
    </row>
    <row r="323" spans="1:35">
      <c r="A323" s="96">
        <v>300856</v>
      </c>
      <c r="B323" s="1286" t="s">
        <v>808</v>
      </c>
      <c r="C323" s="1022"/>
      <c r="D323" s="1358"/>
      <c r="E323" s="1022"/>
      <c r="F323" s="1032">
        <v>0.95997119522687779</v>
      </c>
      <c r="G323" s="390">
        <f t="shared" si="62"/>
        <v>0.91350858937789692</v>
      </c>
      <c r="H323" s="390">
        <f t="shared" si="63"/>
        <v>0.93485820366145278</v>
      </c>
      <c r="I323" s="387"/>
      <c r="J323" s="388">
        <f t="shared" si="64"/>
        <v>0.88811529347838014</v>
      </c>
      <c r="K323" s="388">
        <f t="shared" si="65"/>
        <v>0.98160111384452542</v>
      </c>
      <c r="L323" s="1316">
        <v>0.94208589073702065</v>
      </c>
      <c r="M323" s="61" t="b">
        <f t="shared" si="76"/>
        <v>1</v>
      </c>
      <c r="N323" s="857">
        <f t="shared" si="66"/>
        <v>0.94208589073702065</v>
      </c>
      <c r="O323" s="15"/>
      <c r="P323" s="445">
        <f t="shared" si="72"/>
        <v>-4.3691926475569499E-2</v>
      </c>
      <c r="Q323" s="445">
        <f t="shared" si="75"/>
        <v>4.5209501561542159E-2</v>
      </c>
      <c r="R323" s="445">
        <f t="shared" si="74"/>
        <v>0</v>
      </c>
      <c r="S323" s="445">
        <f t="shared" si="74"/>
        <v>1.7031550382955432E-3</v>
      </c>
      <c r="T323" s="445">
        <f t="shared" si="74"/>
        <v>3.9444747387183197E-2</v>
      </c>
      <c r="U323" s="445">
        <f t="shared" si="74"/>
        <v>-5.1621575757582914E-3</v>
      </c>
      <c r="V323" s="445">
        <f t="shared" si="74"/>
        <v>-1.942061964395851E-4</v>
      </c>
      <c r="W323" s="445">
        <f t="shared" si="74"/>
        <v>-1.6057447672593039E-2</v>
      </c>
      <c r="X323" s="445">
        <f t="shared" si="74"/>
        <v>1.2669877842749584E-3</v>
      </c>
      <c r="Y323" s="43"/>
      <c r="Z323" s="388">
        <f t="shared" si="68"/>
        <v>0.96460454458795608</v>
      </c>
      <c r="AA323" s="43"/>
      <c r="AB323" s="462">
        <f>IF('TAR_Tab 2_Volumina'!C326="storage",1,0)</f>
        <v>0</v>
      </c>
      <c r="AC323" s="389">
        <f t="shared" si="67"/>
        <v>0.96460454458795608</v>
      </c>
      <c r="AD323" s="389">
        <f t="shared" si="69"/>
        <v>1.0295138714651875</v>
      </c>
      <c r="AE323" s="43"/>
      <c r="AF323" s="1027">
        <f t="shared" si="70"/>
        <v>1.0295138714651875</v>
      </c>
      <c r="AG323" s="392">
        <f t="shared" si="71"/>
        <v>1.03</v>
      </c>
      <c r="AH323" s="392">
        <f>AG323+'TAR_Tab 14_Overige tarieven'!$AA$14+'TAR_Tab 14_Overige tarieven'!$AA$15</f>
        <v>1.21</v>
      </c>
      <c r="AI323" s="43"/>
    </row>
    <row r="324" spans="1:35">
      <c r="A324" s="96">
        <v>300857</v>
      </c>
      <c r="B324" s="1286" t="s">
        <v>419</v>
      </c>
      <c r="C324" s="1022"/>
      <c r="D324" s="1358"/>
      <c r="E324" s="1022"/>
      <c r="F324" s="1032">
        <v>1.3212456825171512</v>
      </c>
      <c r="G324" s="390">
        <f t="shared" si="62"/>
        <v>1.2572973914833212</v>
      </c>
      <c r="H324" s="390">
        <f t="shared" si="63"/>
        <v>1.2866816957580844</v>
      </c>
      <c r="I324" s="387"/>
      <c r="J324" s="388">
        <f t="shared" si="64"/>
        <v>1.2223476109701801</v>
      </c>
      <c r="K324" s="388">
        <f t="shared" si="65"/>
        <v>1.3510157805459888</v>
      </c>
      <c r="L324" s="1316">
        <v>1.2966294425140921</v>
      </c>
      <c r="M324" s="61" t="b">
        <f t="shared" si="76"/>
        <v>1</v>
      </c>
      <c r="N324" s="857">
        <f t="shared" si="66"/>
        <v>1.2966294425140921</v>
      </c>
      <c r="O324" s="15"/>
      <c r="P324" s="445">
        <f t="shared" si="72"/>
        <v>-6.0134897279974883E-2</v>
      </c>
      <c r="Q324" s="445">
        <f t="shared" si="75"/>
        <v>6.2223594878618033E-2</v>
      </c>
      <c r="R324" s="445">
        <f t="shared" si="74"/>
        <v>0</v>
      </c>
      <c r="S324" s="445">
        <f t="shared" si="74"/>
        <v>2.3441185029239252E-3</v>
      </c>
      <c r="T324" s="445">
        <f t="shared" si="74"/>
        <v>5.428933955771291E-2</v>
      </c>
      <c r="U324" s="445">
        <f t="shared" si="74"/>
        <v>-7.1048781915085566E-3</v>
      </c>
      <c r="V324" s="445">
        <f t="shared" si="74"/>
        <v>-2.672935394725428E-4</v>
      </c>
      <c r="W324" s="445">
        <f t="shared" si="74"/>
        <v>-2.2100489592965882E-2</v>
      </c>
      <c r="X324" s="445">
        <f t="shared" si="74"/>
        <v>1.7438045517393155E-3</v>
      </c>
      <c r="Y324" s="43"/>
      <c r="Z324" s="388">
        <f t="shared" si="68"/>
        <v>1.3276227414011643</v>
      </c>
      <c r="AA324" s="43"/>
      <c r="AB324" s="462">
        <f>IF('TAR_Tab 2_Volumina'!C327="storage",1,0)</f>
        <v>0</v>
      </c>
      <c r="AC324" s="389">
        <f t="shared" si="67"/>
        <v>1.3276227414011643</v>
      </c>
      <c r="AD324" s="389">
        <f t="shared" si="69"/>
        <v>1.4169599718493842</v>
      </c>
      <c r="AE324" s="43"/>
      <c r="AF324" s="1027">
        <f t="shared" si="70"/>
        <v>1.4169599718493842</v>
      </c>
      <c r="AG324" s="392">
        <f t="shared" si="71"/>
        <v>1.417</v>
      </c>
      <c r="AH324" s="392">
        <f>AG324+'TAR_Tab 14_Overige tarieven'!$AA$14+'TAR_Tab 14_Overige tarieven'!$AA$15</f>
        <v>1.597</v>
      </c>
      <c r="AI324" s="43"/>
    </row>
    <row r="325" spans="1:35">
      <c r="A325" s="96">
        <v>300858</v>
      </c>
      <c r="B325" s="1286" t="s">
        <v>304</v>
      </c>
      <c r="C325" s="1022"/>
      <c r="D325" s="1358"/>
      <c r="E325" s="1022"/>
      <c r="F325" s="1032">
        <v>1.159886611128742</v>
      </c>
      <c r="G325" s="390">
        <f t="shared" si="62"/>
        <v>1.103748099150111</v>
      </c>
      <c r="H325" s="390">
        <f t="shared" si="63"/>
        <v>1.1295438020663915</v>
      </c>
      <c r="I325" s="387"/>
      <c r="J325" s="388">
        <f t="shared" si="64"/>
        <v>1.0730666119630718</v>
      </c>
      <c r="K325" s="388">
        <f t="shared" si="65"/>
        <v>1.1860209921697111</v>
      </c>
      <c r="L325" s="1316">
        <v>1.1382766656252798</v>
      </c>
      <c r="M325" s="61" t="b">
        <f t="shared" si="76"/>
        <v>1</v>
      </c>
      <c r="N325" s="857">
        <f t="shared" si="66"/>
        <v>1.1382766656252798</v>
      </c>
      <c r="O325" s="15"/>
      <c r="P325" s="445">
        <f t="shared" si="72"/>
        <v>-5.2790834543173341E-2</v>
      </c>
      <c r="Q325" s="445">
        <f t="shared" si="75"/>
        <v>5.4624446876912411E-2</v>
      </c>
      <c r="R325" s="445">
        <f t="shared" si="74"/>
        <v>0</v>
      </c>
      <c r="S325" s="445">
        <f t="shared" si="74"/>
        <v>2.0578395845810581E-3</v>
      </c>
      <c r="T325" s="445">
        <f t="shared" si="74"/>
        <v>4.7659174151508166E-2</v>
      </c>
      <c r="U325" s="445">
        <f t="shared" si="74"/>
        <v>-6.237184497232511E-3</v>
      </c>
      <c r="V325" s="445">
        <f t="shared" si="74"/>
        <v>-2.3464992300657129E-4</v>
      </c>
      <c r="W325" s="445">
        <f t="shared" si="74"/>
        <v>-1.9401434810696887E-2</v>
      </c>
      <c r="X325" s="445">
        <f t="shared" si="74"/>
        <v>1.5308398572280925E-3</v>
      </c>
      <c r="Y325" s="43"/>
      <c r="Z325" s="388">
        <f t="shared" si="68"/>
        <v>1.1654848623214003</v>
      </c>
      <c r="AA325" s="43"/>
      <c r="AB325" s="462">
        <f>IF('TAR_Tab 2_Volumina'!C328="storage",1,0)</f>
        <v>0</v>
      </c>
      <c r="AC325" s="389">
        <f t="shared" si="67"/>
        <v>1.1654848623214003</v>
      </c>
      <c r="AD325" s="389">
        <f t="shared" si="69"/>
        <v>1.2439116521632418</v>
      </c>
      <c r="AE325" s="43"/>
      <c r="AF325" s="1027">
        <f t="shared" si="70"/>
        <v>1.2439116521632418</v>
      </c>
      <c r="AG325" s="392">
        <f t="shared" si="71"/>
        <v>1.244</v>
      </c>
      <c r="AH325" s="392">
        <f>AG325+'TAR_Tab 14_Overige tarieven'!$AA$14+'TAR_Tab 14_Overige tarieven'!$AA$15</f>
        <v>1.4239999999999999</v>
      </c>
      <c r="AI325" s="43"/>
    </row>
    <row r="326" spans="1:35">
      <c r="A326" s="96">
        <v>300885</v>
      </c>
      <c r="B326" s="1286" t="s">
        <v>653</v>
      </c>
      <c r="C326" s="1022"/>
      <c r="D326" s="1358"/>
      <c r="E326" s="1022"/>
      <c r="F326" s="1032">
        <v>2.7246655702869527</v>
      </c>
      <c r="G326" s="390">
        <f t="shared" si="62"/>
        <v>2.592791756685064</v>
      </c>
      <c r="H326" s="390">
        <f t="shared" si="63"/>
        <v>2.6533879071388942</v>
      </c>
      <c r="I326" s="387"/>
      <c r="J326" s="388">
        <f t="shared" si="64"/>
        <v>2.5207185117819493</v>
      </c>
      <c r="K326" s="388">
        <f t="shared" si="65"/>
        <v>2.786057302495839</v>
      </c>
      <c r="L326" s="1316">
        <v>2.6739020957161395</v>
      </c>
      <c r="M326" s="61" t="b">
        <f t="shared" si="76"/>
        <v>1</v>
      </c>
      <c r="N326" s="857">
        <f t="shared" si="66"/>
        <v>2.6739020957161395</v>
      </c>
      <c r="O326" s="15"/>
      <c r="P326" s="445">
        <f t="shared" si="72"/>
        <v>-0.12400985400333608</v>
      </c>
      <c r="Q326" s="445">
        <f t="shared" si="75"/>
        <v>0.12831715468864233</v>
      </c>
      <c r="R326" s="445">
        <f t="shared" si="74"/>
        <v>0</v>
      </c>
      <c r="S326" s="445">
        <f t="shared" si="74"/>
        <v>4.8340282674918062E-3</v>
      </c>
      <c r="T326" s="445">
        <f t="shared" si="74"/>
        <v>0.11195517706041599</v>
      </c>
      <c r="U326" s="445">
        <f t="shared" si="74"/>
        <v>-1.4651640679427308E-2</v>
      </c>
      <c r="V326" s="445">
        <f t="shared" si="74"/>
        <v>-5.5121126509453694E-4</v>
      </c>
      <c r="W326" s="445">
        <f t="shared" si="74"/>
        <v>-4.5575507929546302E-2</v>
      </c>
      <c r="X326" s="445">
        <f t="shared" si="74"/>
        <v>3.5960641433332428E-3</v>
      </c>
      <c r="Y326" s="43"/>
      <c r="Z326" s="388">
        <f t="shared" si="68"/>
        <v>2.7378163059986185</v>
      </c>
      <c r="AA326" s="43"/>
      <c r="AB326" s="462">
        <f>IF('TAR_Tab 2_Volumina'!C329="storage",1,0)</f>
        <v>0</v>
      </c>
      <c r="AC326" s="389">
        <f t="shared" si="67"/>
        <v>2.7378163059986185</v>
      </c>
      <c r="AD326" s="389">
        <f t="shared" si="69"/>
        <v>2.9220470506420515</v>
      </c>
      <c r="AE326" s="43"/>
      <c r="AF326" s="1027">
        <f t="shared" si="70"/>
        <v>2.9220470506420515</v>
      </c>
      <c r="AG326" s="392">
        <f t="shared" si="71"/>
        <v>2.9220000000000002</v>
      </c>
      <c r="AH326" s="392">
        <f>AG326+'TAR_Tab 14_Overige tarieven'!$AA$14+'TAR_Tab 14_Overige tarieven'!$AA$15</f>
        <v>3.1020000000000003</v>
      </c>
      <c r="AI326" s="43"/>
    </row>
    <row r="327" spans="1:35">
      <c r="A327" s="96">
        <v>300887</v>
      </c>
      <c r="B327" s="1286" t="s">
        <v>809</v>
      </c>
      <c r="C327" s="1022"/>
      <c r="D327" s="1358"/>
      <c r="E327" s="1022"/>
      <c r="F327" s="1032">
        <v>3.0137399475494542</v>
      </c>
      <c r="G327" s="390">
        <f t="shared" ref="G327:G353" si="77">F327*$G$5</f>
        <v>2.8678749340880607</v>
      </c>
      <c r="H327" s="390">
        <f t="shared" ref="H327:H353" si="78">G327*$H$5</f>
        <v>2.9349000549990252</v>
      </c>
      <c r="I327" s="387"/>
      <c r="J327" s="388">
        <f t="shared" ref="J327:J353" si="79">H327*$J$5</f>
        <v>2.7881550522490737</v>
      </c>
      <c r="K327" s="388">
        <f t="shared" ref="K327:K353" si="80">H327*$K$5</f>
        <v>3.0816450577489767</v>
      </c>
      <c r="L327" s="1316">
        <v>2.9575907038188345</v>
      </c>
      <c r="M327" s="61" t="b">
        <f t="shared" si="76"/>
        <v>1</v>
      </c>
      <c r="N327" s="857">
        <f t="shared" ref="N327:N390" si="81">IF(L327&gt;0,L327,H327)</f>
        <v>2.9575907038188345</v>
      </c>
      <c r="O327" s="15"/>
      <c r="P327" s="445">
        <f t="shared" si="72"/>
        <v>-0.13716672423040499</v>
      </c>
      <c r="Q327" s="445">
        <f t="shared" si="75"/>
        <v>0.14193100953682056</v>
      </c>
      <c r="R327" s="445">
        <f t="shared" si="74"/>
        <v>0</v>
      </c>
      <c r="S327" s="445">
        <f t="shared" si="74"/>
        <v>5.3468962415776514E-3</v>
      </c>
      <c r="T327" s="445">
        <f t="shared" si="74"/>
        <v>0.12383310198558194</v>
      </c>
      <c r="U327" s="445">
        <f t="shared" si="74"/>
        <v>-1.6206111786438555E-2</v>
      </c>
      <c r="V327" s="445">
        <f t="shared" si="74"/>
        <v>-6.0969222324768662E-4</v>
      </c>
      <c r="W327" s="445">
        <f t="shared" si="74"/>
        <v>-5.0410857895732533E-2</v>
      </c>
      <c r="X327" s="445">
        <f t="shared" si="74"/>
        <v>3.9775898667711437E-3</v>
      </c>
      <c r="Y327" s="43"/>
      <c r="Z327" s="388">
        <f t="shared" si="68"/>
        <v>3.028285915313762</v>
      </c>
      <c r="AA327" s="43"/>
      <c r="AB327" s="462">
        <f>IF('TAR_Tab 2_Volumina'!C330="storage",1,0)</f>
        <v>0</v>
      </c>
      <c r="AC327" s="389">
        <f t="shared" ref="AC327:AC390" si="82">IF(AB327=1,Z327*$AC$5,Z327)</f>
        <v>3.028285915313762</v>
      </c>
      <c r="AD327" s="389">
        <f t="shared" si="69"/>
        <v>3.2320626873159943</v>
      </c>
      <c r="AE327" s="43"/>
      <c r="AF327" s="1027">
        <f t="shared" si="70"/>
        <v>3.2320626873159943</v>
      </c>
      <c r="AG327" s="392">
        <f t="shared" si="71"/>
        <v>3.2320000000000002</v>
      </c>
      <c r="AH327" s="392">
        <f>AG327+'TAR_Tab 14_Overige tarieven'!$AA$14+'TAR_Tab 14_Overige tarieven'!$AA$15</f>
        <v>3.4120000000000004</v>
      </c>
      <c r="AI327" s="43"/>
    </row>
    <row r="328" spans="1:35">
      <c r="A328" s="96">
        <v>300888</v>
      </c>
      <c r="B328" s="1286" t="s">
        <v>382</v>
      </c>
      <c r="C328" s="1022"/>
      <c r="D328" s="1358"/>
      <c r="E328" s="1022"/>
      <c r="F328" s="1032">
        <v>1.8892294586796969</v>
      </c>
      <c r="G328" s="390">
        <f t="shared" si="77"/>
        <v>1.7977907528795996</v>
      </c>
      <c r="H328" s="390">
        <f t="shared" si="78"/>
        <v>1.8398069304862723</v>
      </c>
      <c r="I328" s="387"/>
      <c r="J328" s="388">
        <f t="shared" si="79"/>
        <v>1.7478165839619586</v>
      </c>
      <c r="K328" s="388">
        <f t="shared" si="80"/>
        <v>1.931797277010586</v>
      </c>
      <c r="L328" s="1316">
        <v>1.8540310649281959</v>
      </c>
      <c r="M328" s="61" t="b">
        <f t="shared" si="76"/>
        <v>1</v>
      </c>
      <c r="N328" s="857">
        <f t="shared" si="81"/>
        <v>1.8540310649281959</v>
      </c>
      <c r="O328" s="15"/>
      <c r="P328" s="445">
        <f t="shared" si="72"/>
        <v>-8.5985991053205466E-2</v>
      </c>
      <c r="Q328" s="445">
        <f t="shared" si="75"/>
        <v>8.897258853908141E-2</v>
      </c>
      <c r="R328" s="445">
        <f t="shared" si="74"/>
        <v>0</v>
      </c>
      <c r="S328" s="445">
        <f t="shared" si="74"/>
        <v>3.3518200202728309E-3</v>
      </c>
      <c r="T328" s="445">
        <f t="shared" si="74"/>
        <v>7.7627515413557308E-2</v>
      </c>
      <c r="U328" s="445">
        <f t="shared" si="74"/>
        <v>-1.0159159161191545E-2</v>
      </c>
      <c r="V328" s="445">
        <f t="shared" si="74"/>
        <v>-3.8219903805039455E-4</v>
      </c>
      <c r="W328" s="445">
        <f t="shared" si="74"/>
        <v>-3.1601159831781099E-2</v>
      </c>
      <c r="X328" s="445">
        <f t="shared" si="74"/>
        <v>2.4934400716824234E-3</v>
      </c>
      <c r="Y328" s="43"/>
      <c r="Z328" s="388">
        <f t="shared" ref="Z328:Z391" si="83">N328+SUM(P328:X328)</f>
        <v>1.8983479198885613</v>
      </c>
      <c r="AA328" s="43"/>
      <c r="AB328" s="462">
        <f>IF('TAR_Tab 2_Volumina'!C331="storage",1,0)</f>
        <v>0</v>
      </c>
      <c r="AC328" s="389">
        <f t="shared" si="82"/>
        <v>1.8983479198885613</v>
      </c>
      <c r="AD328" s="389">
        <f t="shared" ref="AD328:AD391" si="84">IF(AB328=0,AC328*(1+$AD$5),AC328)</f>
        <v>2.0260898907823379</v>
      </c>
      <c r="AE328" s="43"/>
      <c r="AF328" s="1027">
        <f t="shared" ref="AF328:AF391" si="85">AD328</f>
        <v>2.0260898907823379</v>
      </c>
      <c r="AG328" s="392">
        <f t="shared" ref="AG328:AG391" si="86">ROUND(AD328,3)</f>
        <v>2.0259999999999998</v>
      </c>
      <c r="AH328" s="392">
        <f>AG328+'TAR_Tab 14_Overige tarieven'!$AA$14+'TAR_Tab 14_Overige tarieven'!$AA$15</f>
        <v>2.206</v>
      </c>
      <c r="AI328" s="43"/>
    </row>
    <row r="329" spans="1:35">
      <c r="A329" s="96">
        <v>300889</v>
      </c>
      <c r="B329" s="1286" t="s">
        <v>810</v>
      </c>
      <c r="C329" s="1022"/>
      <c r="D329" s="1358"/>
      <c r="E329" s="1022"/>
      <c r="F329" s="1032">
        <v>1.9013214969472292</v>
      </c>
      <c r="G329" s="390">
        <f t="shared" si="77"/>
        <v>1.8092975364949833</v>
      </c>
      <c r="H329" s="390">
        <f t="shared" si="78"/>
        <v>1.8515826392050314</v>
      </c>
      <c r="I329" s="387"/>
      <c r="J329" s="388">
        <f t="shared" si="79"/>
        <v>1.7590035072447798</v>
      </c>
      <c r="K329" s="388">
        <f t="shared" si="80"/>
        <v>1.944161771165283</v>
      </c>
      <c r="L329" s="1316">
        <v>1.8658978154085601</v>
      </c>
      <c r="M329" s="61" t="b">
        <f t="shared" si="76"/>
        <v>1</v>
      </c>
      <c r="N329" s="857">
        <f t="shared" si="81"/>
        <v>1.8658978154085601</v>
      </c>
      <c r="O329" s="15"/>
      <c r="P329" s="445">
        <f t="shared" si="72"/>
        <v>-8.653634553212286E-2</v>
      </c>
      <c r="Q329" s="445">
        <f t="shared" si="75"/>
        <v>8.9542058774913891E-2</v>
      </c>
      <c r="R329" s="445">
        <f t="shared" si="74"/>
        <v>0</v>
      </c>
      <c r="S329" s="445">
        <f t="shared" si="74"/>
        <v>3.3732733888749405E-3</v>
      </c>
      <c r="T329" s="445">
        <f t="shared" si="74"/>
        <v>7.8124371358017433E-2</v>
      </c>
      <c r="U329" s="445">
        <f t="shared" si="74"/>
        <v>-1.0224182994468489E-2</v>
      </c>
      <c r="V329" s="445">
        <f t="shared" si="74"/>
        <v>-3.8464530807476164E-4</v>
      </c>
      <c r="W329" s="445">
        <f t="shared" si="74"/>
        <v>-3.180342347542095E-2</v>
      </c>
      <c r="X329" s="445">
        <f t="shared" si="74"/>
        <v>2.5093993680114432E-3</v>
      </c>
      <c r="Y329" s="43"/>
      <c r="Z329" s="388">
        <f t="shared" si="83"/>
        <v>1.9104983209882909</v>
      </c>
      <c r="AA329" s="43"/>
      <c r="AB329" s="462">
        <f>IF('TAR_Tab 2_Volumina'!C332="storage",1,0)</f>
        <v>0</v>
      </c>
      <c r="AC329" s="389">
        <f t="shared" si="82"/>
        <v>1.9104983209882909</v>
      </c>
      <c r="AD329" s="389">
        <f t="shared" si="84"/>
        <v>2.0390579060650986</v>
      </c>
      <c r="AE329" s="43"/>
      <c r="AF329" s="1027">
        <f t="shared" si="85"/>
        <v>2.0390579060650986</v>
      </c>
      <c r="AG329" s="392">
        <f t="shared" si="86"/>
        <v>2.0390000000000001</v>
      </c>
      <c r="AH329" s="392">
        <f>AG329+'TAR_Tab 14_Overige tarieven'!$AA$14+'TAR_Tab 14_Overige tarieven'!$AA$15</f>
        <v>2.2190000000000003</v>
      </c>
      <c r="AI329" s="43"/>
    </row>
    <row r="330" spans="1:35">
      <c r="A330" s="96">
        <v>300892</v>
      </c>
      <c r="B330" s="1286" t="s">
        <v>420</v>
      </c>
      <c r="C330" s="1022"/>
      <c r="D330" s="1358"/>
      <c r="E330" s="1022"/>
      <c r="F330" s="1032">
        <v>2.7157933281173441</v>
      </c>
      <c r="G330" s="390">
        <f t="shared" si="77"/>
        <v>2.5843489310364647</v>
      </c>
      <c r="H330" s="390">
        <f t="shared" si="78"/>
        <v>2.6447477641654697</v>
      </c>
      <c r="I330" s="387"/>
      <c r="J330" s="388">
        <f t="shared" si="79"/>
        <v>2.5125103759571963</v>
      </c>
      <c r="K330" s="388">
        <f t="shared" si="80"/>
        <v>2.7769851523737432</v>
      </c>
      <c r="L330" s="1316">
        <v>2.6651951530404121</v>
      </c>
      <c r="M330" s="61" t="b">
        <f t="shared" si="76"/>
        <v>1</v>
      </c>
      <c r="N330" s="857">
        <f t="shared" si="81"/>
        <v>2.6651951530404121</v>
      </c>
      <c r="O330" s="15"/>
      <c r="P330" s="445">
        <f t="shared" ref="P330:P393" si="87">$N330*P$5</f>
        <v>-0.12360604464481012</v>
      </c>
      <c r="Q330" s="445">
        <f t="shared" si="75"/>
        <v>0.12789931960336512</v>
      </c>
      <c r="R330" s="445">
        <f t="shared" si="74"/>
        <v>0</v>
      </c>
      <c r="S330" s="445">
        <f t="shared" si="74"/>
        <v>4.8182873744032637E-3</v>
      </c>
      <c r="T330" s="445">
        <f t="shared" si="74"/>
        <v>0.11159062096448502</v>
      </c>
      <c r="U330" s="445">
        <f t="shared" si="74"/>
        <v>-1.4603931006098015E-2</v>
      </c>
      <c r="V330" s="445">
        <f t="shared" si="74"/>
        <v>-5.4941637331630685E-4</v>
      </c>
      <c r="W330" s="445">
        <f t="shared" si="74"/>
        <v>-4.5427101847066519E-2</v>
      </c>
      <c r="X330" s="445">
        <f t="shared" si="74"/>
        <v>3.5843543935991729E-3</v>
      </c>
      <c r="Y330" s="43"/>
      <c r="Z330" s="388">
        <f t="shared" si="83"/>
        <v>2.7289012415049738</v>
      </c>
      <c r="AA330" s="43"/>
      <c r="AB330" s="462">
        <f>IF('TAR_Tab 2_Volumina'!C333="storage",1,0)</f>
        <v>0</v>
      </c>
      <c r="AC330" s="389">
        <f t="shared" si="82"/>
        <v>2.7289012415049738</v>
      </c>
      <c r="AD330" s="389">
        <f t="shared" si="84"/>
        <v>2.9125320814116975</v>
      </c>
      <c r="AE330" s="43"/>
      <c r="AF330" s="1027">
        <f t="shared" si="85"/>
        <v>2.9125320814116975</v>
      </c>
      <c r="AG330" s="392">
        <f t="shared" si="86"/>
        <v>2.9129999999999998</v>
      </c>
      <c r="AH330" s="392">
        <f>AG330+'TAR_Tab 14_Overige tarieven'!$AA$14+'TAR_Tab 14_Overige tarieven'!$AA$15</f>
        <v>3.093</v>
      </c>
      <c r="AI330" s="43"/>
    </row>
    <row r="331" spans="1:35">
      <c r="A331" s="96">
        <v>300893</v>
      </c>
      <c r="B331" s="1286" t="s">
        <v>421</v>
      </c>
      <c r="C331" s="1022"/>
      <c r="D331" s="1358"/>
      <c r="E331" s="1022"/>
      <c r="F331" s="1032">
        <v>1.3315121096860034</v>
      </c>
      <c r="G331" s="390">
        <f t="shared" si="77"/>
        <v>1.267066923577201</v>
      </c>
      <c r="H331" s="390">
        <f t="shared" si="78"/>
        <v>1.2966795516404435</v>
      </c>
      <c r="I331" s="387"/>
      <c r="J331" s="388">
        <f t="shared" si="79"/>
        <v>1.2318455740584213</v>
      </c>
      <c r="K331" s="388">
        <f t="shared" si="80"/>
        <v>1.3615135292224656</v>
      </c>
      <c r="L331" s="1316">
        <v>1.3067045950104845</v>
      </c>
      <c r="M331" s="61" t="b">
        <f t="shared" si="76"/>
        <v>1</v>
      </c>
      <c r="N331" s="857">
        <f t="shared" si="81"/>
        <v>1.3067045950104845</v>
      </c>
      <c r="O331" s="15"/>
      <c r="P331" s="445">
        <f t="shared" si="87"/>
        <v>-6.0602161280455931E-2</v>
      </c>
      <c r="Q331" s="445">
        <f t="shared" si="75"/>
        <v>6.2707088609918998E-2</v>
      </c>
      <c r="R331" s="445">
        <f t="shared" si="74"/>
        <v>0</v>
      </c>
      <c r="S331" s="445">
        <f t="shared" si="74"/>
        <v>2.3623329214865494E-3</v>
      </c>
      <c r="T331" s="445">
        <f t="shared" si="74"/>
        <v>5.4711182034089076E-2</v>
      </c>
      <c r="U331" s="445">
        <f t="shared" si="74"/>
        <v>-7.1600849675547236E-3</v>
      </c>
      <c r="V331" s="445">
        <f t="shared" si="74"/>
        <v>-2.6937048071973887E-4</v>
      </c>
      <c r="W331" s="445">
        <f t="shared" si="74"/>
        <v>-2.2272216221710581E-2</v>
      </c>
      <c r="X331" s="445">
        <f t="shared" si="74"/>
        <v>1.75735437268786E-3</v>
      </c>
      <c r="Y331" s="43"/>
      <c r="Z331" s="388">
        <f t="shared" si="83"/>
        <v>1.337938719998226</v>
      </c>
      <c r="AA331" s="43"/>
      <c r="AB331" s="462">
        <f>IF('TAR_Tab 2_Volumina'!C334="storage",1,0)</f>
        <v>0</v>
      </c>
      <c r="AC331" s="389">
        <f t="shared" si="82"/>
        <v>1.337938719998226</v>
      </c>
      <c r="AD331" s="389">
        <f t="shared" si="84"/>
        <v>1.4279701242719498</v>
      </c>
      <c r="AE331" s="43"/>
      <c r="AF331" s="1027">
        <f t="shared" si="85"/>
        <v>1.4279701242719498</v>
      </c>
      <c r="AG331" s="392">
        <f t="shared" si="86"/>
        <v>1.4279999999999999</v>
      </c>
      <c r="AH331" s="392">
        <f>AG331+'TAR_Tab 14_Overige tarieven'!$AA$14+'TAR_Tab 14_Overige tarieven'!$AA$15</f>
        <v>1.6079999999999999</v>
      </c>
      <c r="AI331" s="43"/>
    </row>
    <row r="332" spans="1:35">
      <c r="A332" s="96">
        <v>300895</v>
      </c>
      <c r="B332" s="1286" t="s">
        <v>422</v>
      </c>
      <c r="C332" s="1022"/>
      <c r="D332" s="1358"/>
      <c r="E332" s="1022"/>
      <c r="F332" s="1032">
        <v>1.8933364789945806</v>
      </c>
      <c r="G332" s="390">
        <f t="shared" si="77"/>
        <v>1.8016989934112428</v>
      </c>
      <c r="H332" s="390">
        <f t="shared" si="78"/>
        <v>1.8438065105289483</v>
      </c>
      <c r="I332" s="387"/>
      <c r="J332" s="388">
        <f t="shared" si="79"/>
        <v>1.7516161850025007</v>
      </c>
      <c r="K332" s="388">
        <f t="shared" si="80"/>
        <v>1.9359968360553959</v>
      </c>
      <c r="L332" s="1316">
        <v>1.8580615670004044</v>
      </c>
      <c r="M332" s="61" t="b">
        <f t="shared" si="76"/>
        <v>1</v>
      </c>
      <c r="N332" s="857">
        <f t="shared" si="81"/>
        <v>1.8580615670004044</v>
      </c>
      <c r="O332" s="15"/>
      <c r="P332" s="445">
        <f t="shared" si="87"/>
        <v>-8.6172917109449437E-2</v>
      </c>
      <c r="Q332" s="445">
        <f t="shared" si="75"/>
        <v>8.9166007198164351E-2</v>
      </c>
      <c r="R332" s="445">
        <f t="shared" si="74"/>
        <v>0</v>
      </c>
      <c r="S332" s="445">
        <f t="shared" si="74"/>
        <v>3.3591065850952506E-3</v>
      </c>
      <c r="T332" s="445">
        <f t="shared" si="74"/>
        <v>7.7796270871679507E-2</v>
      </c>
      <c r="U332" s="445">
        <f t="shared" si="74"/>
        <v>-1.0181244288472118E-2</v>
      </c>
      <c r="V332" s="445">
        <f t="shared" si="74"/>
        <v>-3.8302990547435425E-4</v>
      </c>
      <c r="W332" s="445">
        <f t="shared" si="74"/>
        <v>-3.1669858001189127E-2</v>
      </c>
      <c r="X332" s="445">
        <f t="shared" si="74"/>
        <v>2.4988605932507787E-3</v>
      </c>
      <c r="Y332" s="43"/>
      <c r="Z332" s="388">
        <f t="shared" si="83"/>
        <v>1.9024747629440093</v>
      </c>
      <c r="AA332" s="43"/>
      <c r="AB332" s="462">
        <f>IF('TAR_Tab 2_Volumina'!C335="storage",1,0)</f>
        <v>0</v>
      </c>
      <c r="AC332" s="389">
        <f t="shared" si="82"/>
        <v>1.9024747629440093</v>
      </c>
      <c r="AD332" s="389">
        <f t="shared" si="84"/>
        <v>2.0304944337577786</v>
      </c>
      <c r="AE332" s="43"/>
      <c r="AF332" s="1027">
        <f t="shared" si="85"/>
        <v>2.0304944337577786</v>
      </c>
      <c r="AG332" s="392">
        <f t="shared" si="86"/>
        <v>2.0299999999999998</v>
      </c>
      <c r="AH332" s="392">
        <f>AG332+'TAR_Tab 14_Overige tarieven'!$AA$14+'TAR_Tab 14_Overige tarieven'!$AA$15</f>
        <v>2.21</v>
      </c>
      <c r="AI332" s="43"/>
    </row>
    <row r="333" spans="1:35">
      <c r="A333" s="96">
        <v>300896</v>
      </c>
      <c r="B333" s="1286" t="s">
        <v>423</v>
      </c>
      <c r="C333" s="1022"/>
      <c r="D333" s="1358"/>
      <c r="E333" s="1022"/>
      <c r="F333" s="1032">
        <v>1.9758483311719455</v>
      </c>
      <c r="G333" s="390">
        <f t="shared" si="77"/>
        <v>1.8802172719432233</v>
      </c>
      <c r="H333" s="390">
        <f t="shared" si="78"/>
        <v>1.9241598401818034</v>
      </c>
      <c r="I333" s="387"/>
      <c r="J333" s="388">
        <f t="shared" si="79"/>
        <v>1.8279518481727131</v>
      </c>
      <c r="K333" s="388">
        <f t="shared" si="80"/>
        <v>2.0203678321908938</v>
      </c>
      <c r="L333" s="1316">
        <v>1.9390361338846771</v>
      </c>
      <c r="M333" s="61" t="b">
        <f t="shared" si="76"/>
        <v>1</v>
      </c>
      <c r="N333" s="857">
        <f t="shared" si="81"/>
        <v>1.9390361338846771</v>
      </c>
      <c r="O333" s="15"/>
      <c r="P333" s="445">
        <f t="shared" si="87"/>
        <v>-8.992834414374129E-2</v>
      </c>
      <c r="Q333" s="445">
        <f t="shared" si="75"/>
        <v>9.3051873491242748E-2</v>
      </c>
      <c r="R333" s="445">
        <f t="shared" si="74"/>
        <v>0</v>
      </c>
      <c r="S333" s="445">
        <f t="shared" si="74"/>
        <v>3.5054968908187082E-3</v>
      </c>
      <c r="T333" s="445">
        <f t="shared" si="74"/>
        <v>8.1186642563837993E-2</v>
      </c>
      <c r="U333" s="445">
        <f t="shared" si="74"/>
        <v>-1.0624944250434589E-2</v>
      </c>
      <c r="V333" s="445">
        <f t="shared" si="74"/>
        <v>-3.9972239901189647E-4</v>
      </c>
      <c r="W333" s="445">
        <f t="shared" si="74"/>
        <v>-3.3050034568251264E-2</v>
      </c>
      <c r="X333" s="445">
        <f t="shared" si="74"/>
        <v>2.60776126577764E-3</v>
      </c>
      <c r="Y333" s="43"/>
      <c r="Z333" s="388">
        <f t="shared" si="83"/>
        <v>1.9853848627349151</v>
      </c>
      <c r="AA333" s="43"/>
      <c r="AB333" s="462">
        <f>IF('TAR_Tab 2_Volumina'!C336="storage",1,0)</f>
        <v>0</v>
      </c>
      <c r="AC333" s="389">
        <f t="shared" si="82"/>
        <v>1.9853848627349151</v>
      </c>
      <c r="AD333" s="389">
        <f t="shared" si="84"/>
        <v>2.1189836476000812</v>
      </c>
      <c r="AE333" s="43"/>
      <c r="AF333" s="1027">
        <f t="shared" si="85"/>
        <v>2.1189836476000812</v>
      </c>
      <c r="AG333" s="392">
        <f t="shared" si="86"/>
        <v>2.1190000000000002</v>
      </c>
      <c r="AH333" s="392">
        <f>AG333+'TAR_Tab 14_Overige tarieven'!$AA$14+'TAR_Tab 14_Overige tarieven'!$AA$15</f>
        <v>2.2990000000000004</v>
      </c>
      <c r="AI333" s="43"/>
    </row>
    <row r="334" spans="1:35">
      <c r="A334" s="96">
        <v>300899</v>
      </c>
      <c r="B334" s="1286" t="s">
        <v>654</v>
      </c>
      <c r="C334" s="1022"/>
      <c r="D334" s="1358"/>
      <c r="E334" s="1022"/>
      <c r="F334" s="1032">
        <v>1.620071420170621</v>
      </c>
      <c r="G334" s="390">
        <f t="shared" si="77"/>
        <v>1.5416599634343628</v>
      </c>
      <c r="H334" s="390">
        <f t="shared" si="78"/>
        <v>1.5776901069474512</v>
      </c>
      <c r="I334" s="387"/>
      <c r="J334" s="388">
        <f t="shared" si="79"/>
        <v>1.4988056016000786</v>
      </c>
      <c r="K334" s="388">
        <f t="shared" si="80"/>
        <v>1.6565746122948237</v>
      </c>
      <c r="L334" s="1316">
        <v>1.5898877325879754</v>
      </c>
      <c r="M334" s="61" t="b">
        <f t="shared" si="76"/>
        <v>1</v>
      </c>
      <c r="N334" s="857">
        <f t="shared" si="81"/>
        <v>1.5898877325879754</v>
      </c>
      <c r="O334" s="15"/>
      <c r="P334" s="445">
        <f t="shared" si="87"/>
        <v>-7.3735588866848514E-2</v>
      </c>
      <c r="Q334" s="445">
        <f t="shared" si="75"/>
        <v>7.6296686571625194E-2</v>
      </c>
      <c r="R334" s="445">
        <f t="shared" si="74"/>
        <v>0</v>
      </c>
      <c r="S334" s="445">
        <f t="shared" si="74"/>
        <v>2.8742870779681021E-3</v>
      </c>
      <c r="T334" s="445">
        <f t="shared" si="74"/>
        <v>6.6567943117004133E-2</v>
      </c>
      <c r="U334" s="445">
        <f t="shared" si="74"/>
        <v>-8.7117863499297545E-3</v>
      </c>
      <c r="V334" s="445">
        <f t="shared" si="74"/>
        <v>-3.2774723870485995E-4</v>
      </c>
      <c r="W334" s="445">
        <f t="shared" si="74"/>
        <v>-2.7098950660811326E-2</v>
      </c>
      <c r="X334" s="445">
        <f t="shared" si="74"/>
        <v>2.1382003014413886E-3</v>
      </c>
      <c r="Y334" s="43"/>
      <c r="Z334" s="388">
        <f t="shared" si="83"/>
        <v>1.6278907765397199</v>
      </c>
      <c r="AA334" s="43"/>
      <c r="AB334" s="462">
        <f>IF('TAR_Tab 2_Volumina'!C337="storage",1,0)</f>
        <v>0</v>
      </c>
      <c r="AC334" s="389">
        <f t="shared" si="82"/>
        <v>1.6278907765397199</v>
      </c>
      <c r="AD334" s="389">
        <f t="shared" si="84"/>
        <v>1.7374333814628424</v>
      </c>
      <c r="AE334" s="43"/>
      <c r="AF334" s="1027">
        <f t="shared" si="85"/>
        <v>1.7374333814628424</v>
      </c>
      <c r="AG334" s="392">
        <f t="shared" si="86"/>
        <v>1.7370000000000001</v>
      </c>
      <c r="AH334" s="392">
        <f>AG334+'TAR_Tab 14_Overige tarieven'!$AA$14+'TAR_Tab 14_Overige tarieven'!$AA$15</f>
        <v>1.917</v>
      </c>
      <c r="AI334" s="43"/>
    </row>
    <row r="335" spans="1:35">
      <c r="A335" s="96">
        <v>300903</v>
      </c>
      <c r="B335" s="1286" t="s">
        <v>424</v>
      </c>
      <c r="C335" s="1022"/>
      <c r="D335" s="1358"/>
      <c r="E335" s="1022"/>
      <c r="F335" s="1032">
        <v>1.8534113892313402</v>
      </c>
      <c r="G335" s="390">
        <f t="shared" si="77"/>
        <v>1.7637062779925434</v>
      </c>
      <c r="H335" s="390">
        <f t="shared" si="78"/>
        <v>1.8049258671485353</v>
      </c>
      <c r="I335" s="387"/>
      <c r="J335" s="388">
        <f t="shared" si="79"/>
        <v>1.7146795737911085</v>
      </c>
      <c r="K335" s="388">
        <f t="shared" si="80"/>
        <v>1.8951721605059622</v>
      </c>
      <c r="L335" s="1316">
        <v>1.8188803249596279</v>
      </c>
      <c r="M335" s="61" t="b">
        <f t="shared" si="76"/>
        <v>1</v>
      </c>
      <c r="N335" s="857">
        <f t="shared" si="81"/>
        <v>1.8188803249596279</v>
      </c>
      <c r="O335" s="15"/>
      <c r="P335" s="445">
        <f t="shared" si="87"/>
        <v>-8.4355774996082447E-2</v>
      </c>
      <c r="Q335" s="445">
        <f t="shared" si="75"/>
        <v>8.7285749314416766E-2</v>
      </c>
      <c r="R335" s="445">
        <f t="shared" si="74"/>
        <v>0</v>
      </c>
      <c r="S335" s="445">
        <f t="shared" si="74"/>
        <v>3.2882725661968044E-3</v>
      </c>
      <c r="T335" s="445">
        <f t="shared" si="74"/>
        <v>7.6155768439989946E-2</v>
      </c>
      <c r="U335" s="445">
        <f t="shared" si="74"/>
        <v>-9.9665507584902838E-3</v>
      </c>
      <c r="V335" s="445">
        <f t="shared" si="74"/>
        <v>-3.7495289247231785E-4</v>
      </c>
      <c r="W335" s="445">
        <f t="shared" si="74"/>
        <v>-3.1002030630030042E-2</v>
      </c>
      <c r="X335" s="445">
        <f t="shared" si="74"/>
        <v>2.4461667194474591E-3</v>
      </c>
      <c r="Y335" s="43"/>
      <c r="Z335" s="388">
        <f t="shared" si="83"/>
        <v>1.8623569727226039</v>
      </c>
      <c r="AA335" s="43"/>
      <c r="AB335" s="462">
        <f>IF('TAR_Tab 2_Volumina'!C338="storage",1,0)</f>
        <v>0</v>
      </c>
      <c r="AC335" s="389">
        <f t="shared" si="82"/>
        <v>1.8623569727226039</v>
      </c>
      <c r="AD335" s="389">
        <f t="shared" si="84"/>
        <v>1.9876770722211816</v>
      </c>
      <c r="AE335" s="43"/>
      <c r="AF335" s="1027">
        <f t="shared" si="85"/>
        <v>1.9876770722211816</v>
      </c>
      <c r="AG335" s="392">
        <f t="shared" si="86"/>
        <v>1.988</v>
      </c>
      <c r="AH335" s="392">
        <f>AG335+'TAR_Tab 14_Overige tarieven'!$AA$14+'TAR_Tab 14_Overige tarieven'!$AA$15</f>
        <v>2.1680000000000001</v>
      </c>
      <c r="AI335" s="43"/>
    </row>
    <row r="336" spans="1:35">
      <c r="A336" s="96">
        <v>300905</v>
      </c>
      <c r="B336" s="1286" t="s">
        <v>425</v>
      </c>
      <c r="C336" s="1022"/>
      <c r="D336" s="1358"/>
      <c r="E336" s="1022"/>
      <c r="F336" s="1032">
        <v>2.2145116455344298</v>
      </c>
      <c r="G336" s="390">
        <f t="shared" si="77"/>
        <v>2.1073292818905633</v>
      </c>
      <c r="H336" s="390">
        <f t="shared" si="78"/>
        <v>2.1565796861669426</v>
      </c>
      <c r="I336" s="387"/>
      <c r="J336" s="388">
        <f t="shared" si="79"/>
        <v>2.0487507018585953</v>
      </c>
      <c r="K336" s="388">
        <f t="shared" si="80"/>
        <v>2.2644086704752899</v>
      </c>
      <c r="L336" s="1316">
        <v>2.1732528918617664</v>
      </c>
      <c r="M336" s="61" t="b">
        <f t="shared" si="76"/>
        <v>1</v>
      </c>
      <c r="N336" s="857">
        <f t="shared" si="81"/>
        <v>2.1732528918617664</v>
      </c>
      <c r="O336" s="15"/>
      <c r="P336" s="445">
        <f t="shared" si="87"/>
        <v>-0.10079081588809082</v>
      </c>
      <c r="Q336" s="445">
        <f t="shared" si="75"/>
        <v>0.10429163728520066</v>
      </c>
      <c r="R336" s="445">
        <f t="shared" si="74"/>
        <v>0</v>
      </c>
      <c r="S336" s="445">
        <f t="shared" si="74"/>
        <v>3.9289269149005365E-3</v>
      </c>
      <c r="T336" s="445">
        <f t="shared" si="74"/>
        <v>9.0993201544382396E-2</v>
      </c>
      <c r="U336" s="445">
        <f t="shared" si="74"/>
        <v>-1.1908334462992694E-2</v>
      </c>
      <c r="V336" s="445">
        <f t="shared" si="74"/>
        <v>-4.4800498784629256E-4</v>
      </c>
      <c r="W336" s="445">
        <f t="shared" si="74"/>
        <v>-3.7042158186957858E-2</v>
      </c>
      <c r="X336" s="445">
        <f t="shared" si="74"/>
        <v>2.9227535336241533E-3</v>
      </c>
      <c r="Y336" s="43"/>
      <c r="Z336" s="388">
        <f t="shared" si="83"/>
        <v>2.2252000976139863</v>
      </c>
      <c r="AA336" s="43"/>
      <c r="AB336" s="462">
        <f>IF('TAR_Tab 2_Volumina'!C339="storage",1,0)</f>
        <v>0</v>
      </c>
      <c r="AC336" s="389">
        <f t="shared" si="82"/>
        <v>2.2252000976139863</v>
      </c>
      <c r="AD336" s="389">
        <f t="shared" si="84"/>
        <v>2.3749363198966331</v>
      </c>
      <c r="AE336" s="43"/>
      <c r="AF336" s="1027">
        <f t="shared" si="85"/>
        <v>2.3749363198966331</v>
      </c>
      <c r="AG336" s="392">
        <f t="shared" si="86"/>
        <v>2.375</v>
      </c>
      <c r="AH336" s="392">
        <f>AG336+'TAR_Tab 14_Overige tarieven'!$AA$14+'TAR_Tab 14_Overige tarieven'!$AA$15</f>
        <v>2.5550000000000002</v>
      </c>
      <c r="AI336" s="43"/>
    </row>
    <row r="337" spans="1:35">
      <c r="A337" s="96">
        <v>300906</v>
      </c>
      <c r="B337" s="1286" t="s">
        <v>811</v>
      </c>
      <c r="C337" s="1022"/>
      <c r="D337" s="1358"/>
      <c r="E337" s="1022"/>
      <c r="F337" s="1032">
        <v>2.523265673036827</v>
      </c>
      <c r="G337" s="390">
        <f t="shared" si="77"/>
        <v>2.4011396144618447</v>
      </c>
      <c r="H337" s="390">
        <f t="shared" si="78"/>
        <v>2.4572566616421421</v>
      </c>
      <c r="I337" s="387"/>
      <c r="J337" s="388">
        <f t="shared" si="79"/>
        <v>2.3343938285600347</v>
      </c>
      <c r="K337" s="388">
        <f t="shared" si="80"/>
        <v>2.5801194947242494</v>
      </c>
      <c r="L337" s="1316">
        <v>2.5801194947242494</v>
      </c>
      <c r="M337" s="61" t="b">
        <f t="shared" si="76"/>
        <v>1</v>
      </c>
      <c r="N337" s="857">
        <f t="shared" si="81"/>
        <v>2.5801194947242494</v>
      </c>
      <c r="O337" s="15"/>
      <c r="P337" s="445">
        <f t="shared" si="87"/>
        <v>-0.11966041777091389</v>
      </c>
      <c r="Q337" s="445">
        <f t="shared" si="75"/>
        <v>0.12381664715777231</v>
      </c>
      <c r="R337" s="445">
        <f t="shared" si="74"/>
        <v>0</v>
      </c>
      <c r="S337" s="445">
        <f t="shared" si="74"/>
        <v>4.664482888504292E-3</v>
      </c>
      <c r="T337" s="445">
        <f t="shared" si="74"/>
        <v>0.10802853826685113</v>
      </c>
      <c r="U337" s="445">
        <f t="shared" si="74"/>
        <v>-1.413775912261314E-2</v>
      </c>
      <c r="V337" s="445">
        <f t="shared" si="74"/>
        <v>-5.3187846071870923E-4</v>
      </c>
      <c r="W337" s="445">
        <f t="shared" si="74"/>
        <v>-4.3977023945406778E-2</v>
      </c>
      <c r="X337" s="445">
        <f t="shared" si="74"/>
        <v>3.4699382656372085E-3</v>
      </c>
      <c r="Y337" s="43"/>
      <c r="Z337" s="388">
        <f t="shared" si="83"/>
        <v>2.6417920220033619</v>
      </c>
      <c r="AA337" s="43"/>
      <c r="AB337" s="462">
        <f>IF('TAR_Tab 2_Volumina'!C340="storage",1,0)</f>
        <v>0</v>
      </c>
      <c r="AC337" s="389">
        <f t="shared" si="82"/>
        <v>2.6417920220033619</v>
      </c>
      <c r="AD337" s="389">
        <f t="shared" si="84"/>
        <v>2.8195611843611106</v>
      </c>
      <c r="AE337" s="43"/>
      <c r="AF337" s="1027">
        <f t="shared" si="85"/>
        <v>2.8195611843611106</v>
      </c>
      <c r="AG337" s="392">
        <f t="shared" si="86"/>
        <v>2.82</v>
      </c>
      <c r="AH337" s="392">
        <f>AG337+'TAR_Tab 14_Overige tarieven'!$AA$14+'TAR_Tab 14_Overige tarieven'!$AA$15</f>
        <v>3</v>
      </c>
      <c r="AI337" s="43"/>
    </row>
    <row r="338" spans="1:35">
      <c r="A338" s="96">
        <v>300907</v>
      </c>
      <c r="B338" s="1286" t="s">
        <v>426</v>
      </c>
      <c r="C338" s="1022"/>
      <c r="D338" s="1358"/>
      <c r="E338" s="1022"/>
      <c r="F338" s="1032">
        <v>1.8933364789945806</v>
      </c>
      <c r="G338" s="390">
        <f t="shared" si="77"/>
        <v>1.8016989934112428</v>
      </c>
      <c r="H338" s="390">
        <f t="shared" si="78"/>
        <v>1.8438065105289483</v>
      </c>
      <c r="I338" s="387"/>
      <c r="J338" s="388">
        <f t="shared" si="79"/>
        <v>1.7516161850025007</v>
      </c>
      <c r="K338" s="388">
        <f t="shared" si="80"/>
        <v>1.9359968360553959</v>
      </c>
      <c r="L338" s="1316">
        <v>1.8580615670004044</v>
      </c>
      <c r="M338" s="61" t="b">
        <f t="shared" si="76"/>
        <v>1</v>
      </c>
      <c r="N338" s="857">
        <f t="shared" si="81"/>
        <v>1.8580615670004044</v>
      </c>
      <c r="O338" s="15"/>
      <c r="P338" s="445">
        <f t="shared" si="87"/>
        <v>-8.6172917109449437E-2</v>
      </c>
      <c r="Q338" s="445">
        <f t="shared" si="75"/>
        <v>8.9166007198164351E-2</v>
      </c>
      <c r="R338" s="445">
        <f t="shared" si="74"/>
        <v>0</v>
      </c>
      <c r="S338" s="445">
        <f t="shared" si="74"/>
        <v>3.3591065850952506E-3</v>
      </c>
      <c r="T338" s="445">
        <f t="shared" si="74"/>
        <v>7.7796270871679507E-2</v>
      </c>
      <c r="U338" s="445">
        <f t="shared" si="74"/>
        <v>-1.0181244288472118E-2</v>
      </c>
      <c r="V338" s="445">
        <f t="shared" si="74"/>
        <v>-3.8302990547435425E-4</v>
      </c>
      <c r="W338" s="445">
        <f t="shared" si="74"/>
        <v>-3.1669858001189127E-2</v>
      </c>
      <c r="X338" s="445">
        <f t="shared" si="74"/>
        <v>2.4988605932507787E-3</v>
      </c>
      <c r="Y338" s="43"/>
      <c r="Z338" s="388">
        <f t="shared" si="83"/>
        <v>1.9024747629440093</v>
      </c>
      <c r="AA338" s="43"/>
      <c r="AB338" s="462">
        <f>IF('TAR_Tab 2_Volumina'!C341="storage",1,0)</f>
        <v>0</v>
      </c>
      <c r="AC338" s="389">
        <f t="shared" si="82"/>
        <v>1.9024747629440093</v>
      </c>
      <c r="AD338" s="389">
        <f t="shared" si="84"/>
        <v>2.0304944337577786</v>
      </c>
      <c r="AE338" s="43"/>
      <c r="AF338" s="1027">
        <f t="shared" si="85"/>
        <v>2.0304944337577786</v>
      </c>
      <c r="AG338" s="392">
        <f t="shared" si="86"/>
        <v>2.0299999999999998</v>
      </c>
      <c r="AH338" s="392">
        <f>AG338+'TAR_Tab 14_Overige tarieven'!$AA$14+'TAR_Tab 14_Overige tarieven'!$AA$15</f>
        <v>2.21</v>
      </c>
      <c r="AI338" s="43"/>
    </row>
    <row r="339" spans="1:35">
      <c r="A339" s="96">
        <v>300908</v>
      </c>
      <c r="B339" s="1286" t="s">
        <v>427</v>
      </c>
      <c r="C339" s="1022"/>
      <c r="D339" s="1358"/>
      <c r="E339" s="1022"/>
      <c r="F339" s="1032">
        <v>2.523265673036827</v>
      </c>
      <c r="G339" s="390">
        <f t="shared" si="77"/>
        <v>2.4011396144618447</v>
      </c>
      <c r="H339" s="390">
        <f t="shared" si="78"/>
        <v>2.4572566616421421</v>
      </c>
      <c r="I339" s="387"/>
      <c r="J339" s="388">
        <f t="shared" si="79"/>
        <v>2.3343938285600347</v>
      </c>
      <c r="K339" s="388">
        <f t="shared" si="80"/>
        <v>2.5801194947242494</v>
      </c>
      <c r="L339" s="1316">
        <v>2.4762544969771096</v>
      </c>
      <c r="M339" s="61" t="b">
        <f t="shared" si="76"/>
        <v>1</v>
      </c>
      <c r="N339" s="857">
        <f t="shared" si="81"/>
        <v>2.4762544969771096</v>
      </c>
      <c r="O339" s="15"/>
      <c r="P339" s="445">
        <f t="shared" si="87"/>
        <v>-0.11484338156479583</v>
      </c>
      <c r="Q339" s="445">
        <f t="shared" si="75"/>
        <v>0.11883229825284887</v>
      </c>
      <c r="R339" s="445">
        <f t="shared" si="74"/>
        <v>0</v>
      </c>
      <c r="S339" s="445">
        <f t="shared" si="74"/>
        <v>4.476709994381863E-3</v>
      </c>
      <c r="T339" s="445">
        <f t="shared" si="74"/>
        <v>0.1036797536827819</v>
      </c>
      <c r="U339" s="445">
        <f t="shared" si="74"/>
        <v>-1.3568631094852257E-2</v>
      </c>
      <c r="V339" s="445">
        <f t="shared" si="74"/>
        <v>-5.1046722172870844E-4</v>
      </c>
      <c r="W339" s="445">
        <f t="shared" si="74"/>
        <v>-4.2206689857254877E-2</v>
      </c>
      <c r="X339" s="445">
        <f t="shared" si="74"/>
        <v>3.3302528243698299E-3</v>
      </c>
      <c r="Y339" s="43"/>
      <c r="Z339" s="388">
        <f t="shared" si="83"/>
        <v>2.5354443419928603</v>
      </c>
      <c r="AA339" s="43"/>
      <c r="AB339" s="462">
        <f>IF('TAR_Tab 2_Volumina'!C342="storage",1,0)</f>
        <v>0</v>
      </c>
      <c r="AC339" s="389">
        <f t="shared" si="82"/>
        <v>2.5354443419928603</v>
      </c>
      <c r="AD339" s="389">
        <f t="shared" si="84"/>
        <v>2.7060572491129919</v>
      </c>
      <c r="AE339" s="43"/>
      <c r="AF339" s="1027">
        <f t="shared" si="85"/>
        <v>2.7060572491129919</v>
      </c>
      <c r="AG339" s="392">
        <f t="shared" si="86"/>
        <v>2.706</v>
      </c>
      <c r="AH339" s="392">
        <f>AG339+'TAR_Tab 14_Overige tarieven'!$AA$14+'TAR_Tab 14_Overige tarieven'!$AA$15</f>
        <v>2.8860000000000001</v>
      </c>
      <c r="AI339" s="43"/>
    </row>
    <row r="340" spans="1:35">
      <c r="A340" s="96">
        <v>300909</v>
      </c>
      <c r="B340" s="1286" t="s">
        <v>812</v>
      </c>
      <c r="C340" s="1022"/>
      <c r="D340" s="1358"/>
      <c r="E340" s="1022"/>
      <c r="F340" s="1032">
        <v>3.1132697773158315</v>
      </c>
      <c r="G340" s="390">
        <f t="shared" si="77"/>
        <v>2.9625875200937455</v>
      </c>
      <c r="H340" s="390">
        <f t="shared" si="78"/>
        <v>3.0318261693749209</v>
      </c>
      <c r="I340" s="387"/>
      <c r="J340" s="388">
        <f t="shared" si="79"/>
        <v>2.8802348609061745</v>
      </c>
      <c r="K340" s="388">
        <f t="shared" si="80"/>
        <v>3.1834174778436672</v>
      </c>
      <c r="L340" s="1316">
        <v>3.0552661849130365</v>
      </c>
      <c r="M340" s="61" t="b">
        <f t="shared" si="76"/>
        <v>1</v>
      </c>
      <c r="N340" s="857">
        <f t="shared" si="81"/>
        <v>3.0552661849130365</v>
      </c>
      <c r="O340" s="15"/>
      <c r="P340" s="445">
        <f t="shared" si="87"/>
        <v>-0.14169670390677513</v>
      </c>
      <c r="Q340" s="445">
        <f t="shared" si="75"/>
        <v>0.14661833142378572</v>
      </c>
      <c r="R340" s="445">
        <f t="shared" si="74"/>
        <v>0</v>
      </c>
      <c r="S340" s="445">
        <f t="shared" si="74"/>
        <v>5.5234793847700261E-3</v>
      </c>
      <c r="T340" s="445">
        <f t="shared" si="74"/>
        <v>0.12792273406219465</v>
      </c>
      <c r="U340" s="445">
        <f t="shared" si="74"/>
        <v>-1.674132437125055E-2</v>
      </c>
      <c r="V340" s="445">
        <f t="shared" si="74"/>
        <v>-6.2982752498102589E-4</v>
      </c>
      <c r="W340" s="445">
        <f t="shared" si="74"/>
        <v>-5.2075694342161513E-2</v>
      </c>
      <c r="X340" s="445">
        <f t="shared" si="74"/>
        <v>4.1089511816855594E-3</v>
      </c>
      <c r="Y340" s="43"/>
      <c r="Z340" s="388">
        <f t="shared" si="83"/>
        <v>3.1282961308203041</v>
      </c>
      <c r="AA340" s="43"/>
      <c r="AB340" s="462">
        <f>IF('TAR_Tab 2_Volumina'!C343="storage",1,0)</f>
        <v>0</v>
      </c>
      <c r="AC340" s="389">
        <f t="shared" si="82"/>
        <v>3.1282961308203041</v>
      </c>
      <c r="AD340" s="389">
        <f t="shared" si="84"/>
        <v>3.3388027029316056</v>
      </c>
      <c r="AE340" s="43"/>
      <c r="AF340" s="1027">
        <f t="shared" si="85"/>
        <v>3.3388027029316056</v>
      </c>
      <c r="AG340" s="392">
        <f t="shared" si="86"/>
        <v>3.339</v>
      </c>
      <c r="AH340" s="392">
        <f>AG340+'TAR_Tab 14_Overige tarieven'!$AA$14+'TAR_Tab 14_Overige tarieven'!$AA$15</f>
        <v>3.5190000000000001</v>
      </c>
      <c r="AI340" s="43"/>
    </row>
    <row r="341" spans="1:35">
      <c r="A341" s="96">
        <v>300910</v>
      </c>
      <c r="B341" s="1286" t="s">
        <v>305</v>
      </c>
      <c r="C341" s="1022"/>
      <c r="D341" s="1358"/>
      <c r="E341" s="1022"/>
      <c r="F341" s="1032">
        <v>1.8862386852588935</v>
      </c>
      <c r="G341" s="390">
        <f t="shared" si="77"/>
        <v>1.7949447328923631</v>
      </c>
      <c r="H341" s="390">
        <f t="shared" si="78"/>
        <v>1.8368943961502084</v>
      </c>
      <c r="I341" s="387"/>
      <c r="J341" s="388">
        <f t="shared" si="79"/>
        <v>1.7450496763426979</v>
      </c>
      <c r="K341" s="388">
        <f t="shared" si="80"/>
        <v>1.928739115957719</v>
      </c>
      <c r="L341" s="1316">
        <v>1.8510960128598219</v>
      </c>
      <c r="M341" s="61" t="b">
        <f t="shared" si="76"/>
        <v>1</v>
      </c>
      <c r="N341" s="857">
        <f t="shared" si="81"/>
        <v>1.8510960128598219</v>
      </c>
      <c r="O341" s="15"/>
      <c r="P341" s="445">
        <f t="shared" si="87"/>
        <v>-8.5849869622628638E-2</v>
      </c>
      <c r="Q341" s="445">
        <f t="shared" si="75"/>
        <v>8.8831739129942563E-2</v>
      </c>
      <c r="R341" s="445">
        <f t="shared" si="74"/>
        <v>0</v>
      </c>
      <c r="S341" s="445">
        <f t="shared" si="74"/>
        <v>3.3465138706244156E-3</v>
      </c>
      <c r="T341" s="445">
        <f t="shared" si="74"/>
        <v>7.7504625994934698E-2</v>
      </c>
      <c r="U341" s="445">
        <f t="shared" si="74"/>
        <v>-1.0143076549808682E-2</v>
      </c>
      <c r="V341" s="445">
        <f t="shared" si="74"/>
        <v>-3.8159399205177E-4</v>
      </c>
      <c r="W341" s="445">
        <f t="shared" si="74"/>
        <v>-3.1551133135205293E-2</v>
      </c>
      <c r="X341" s="445">
        <f t="shared" si="74"/>
        <v>2.4894927934635217E-3</v>
      </c>
      <c r="Y341" s="43"/>
      <c r="Z341" s="388">
        <f t="shared" si="83"/>
        <v>1.8953427113490928</v>
      </c>
      <c r="AA341" s="43"/>
      <c r="AB341" s="462">
        <f>IF('TAR_Tab 2_Volumina'!C344="storage",1,0)</f>
        <v>0</v>
      </c>
      <c r="AC341" s="389">
        <f t="shared" si="82"/>
        <v>1.8953427113490928</v>
      </c>
      <c r="AD341" s="389">
        <f t="shared" si="84"/>
        <v>2.0228824583734948</v>
      </c>
      <c r="AE341" s="43"/>
      <c r="AF341" s="1027">
        <f t="shared" si="85"/>
        <v>2.0228824583734948</v>
      </c>
      <c r="AG341" s="392">
        <f t="shared" si="86"/>
        <v>2.0230000000000001</v>
      </c>
      <c r="AH341" s="392">
        <f>AG341+'TAR_Tab 14_Overige tarieven'!$AA$14+'TAR_Tab 14_Overige tarieven'!$AA$15</f>
        <v>2.2030000000000003</v>
      </c>
      <c r="AI341" s="43"/>
    </row>
    <row r="342" spans="1:35">
      <c r="A342" s="96">
        <v>300911</v>
      </c>
      <c r="B342" s="1286" t="s">
        <v>813</v>
      </c>
      <c r="C342" s="1022"/>
      <c r="D342" s="1358"/>
      <c r="E342" s="1022"/>
      <c r="F342" s="1032">
        <v>1.8933364789945806</v>
      </c>
      <c r="G342" s="390">
        <f t="shared" si="77"/>
        <v>1.8016989934112428</v>
      </c>
      <c r="H342" s="390">
        <f t="shared" si="78"/>
        <v>1.8438065105289483</v>
      </c>
      <c r="I342" s="387"/>
      <c r="J342" s="388">
        <f t="shared" si="79"/>
        <v>1.7516161850025007</v>
      </c>
      <c r="K342" s="388">
        <f t="shared" si="80"/>
        <v>1.9359968360553959</v>
      </c>
      <c r="L342" s="1316">
        <v>1.8580615670004044</v>
      </c>
      <c r="M342" s="61" t="b">
        <f t="shared" si="76"/>
        <v>1</v>
      </c>
      <c r="N342" s="857">
        <f t="shared" si="81"/>
        <v>1.8580615670004044</v>
      </c>
      <c r="O342" s="15"/>
      <c r="P342" s="445">
        <f t="shared" si="87"/>
        <v>-8.6172917109449437E-2</v>
      </c>
      <c r="Q342" s="445">
        <f t="shared" si="75"/>
        <v>8.9166007198164351E-2</v>
      </c>
      <c r="R342" s="445">
        <f t="shared" si="74"/>
        <v>0</v>
      </c>
      <c r="S342" s="445">
        <f t="shared" si="74"/>
        <v>3.3591065850952506E-3</v>
      </c>
      <c r="T342" s="445">
        <f t="shared" si="74"/>
        <v>7.7796270871679507E-2</v>
      </c>
      <c r="U342" s="445">
        <f t="shared" si="74"/>
        <v>-1.0181244288472118E-2</v>
      </c>
      <c r="V342" s="445">
        <f t="shared" si="74"/>
        <v>-3.8302990547435425E-4</v>
      </c>
      <c r="W342" s="445">
        <f t="shared" si="74"/>
        <v>-3.1669858001189127E-2</v>
      </c>
      <c r="X342" s="445">
        <f t="shared" si="74"/>
        <v>2.4988605932507787E-3</v>
      </c>
      <c r="Y342" s="43"/>
      <c r="Z342" s="388">
        <f t="shared" si="83"/>
        <v>1.9024747629440093</v>
      </c>
      <c r="AA342" s="43"/>
      <c r="AB342" s="462">
        <f>IF('TAR_Tab 2_Volumina'!C345="storage",1,0)</f>
        <v>0</v>
      </c>
      <c r="AC342" s="389">
        <f t="shared" si="82"/>
        <v>1.9024747629440093</v>
      </c>
      <c r="AD342" s="389">
        <f t="shared" si="84"/>
        <v>2.0304944337577786</v>
      </c>
      <c r="AE342" s="43"/>
      <c r="AF342" s="1027">
        <f t="shared" si="85"/>
        <v>2.0304944337577786</v>
      </c>
      <c r="AG342" s="392">
        <f t="shared" si="86"/>
        <v>2.0299999999999998</v>
      </c>
      <c r="AH342" s="392">
        <f>AG342+'TAR_Tab 14_Overige tarieven'!$AA$14+'TAR_Tab 14_Overige tarieven'!$AA$15</f>
        <v>2.21</v>
      </c>
      <c r="AI342" s="43"/>
    </row>
    <row r="343" spans="1:35">
      <c r="A343" s="96">
        <v>300912</v>
      </c>
      <c r="B343" s="1286" t="s">
        <v>814</v>
      </c>
      <c r="C343" s="1022"/>
      <c r="D343" s="1358"/>
      <c r="E343" s="1022"/>
      <c r="F343" s="1032">
        <v>2.2145116455344298</v>
      </c>
      <c r="G343" s="390">
        <f t="shared" si="77"/>
        <v>2.1073292818905633</v>
      </c>
      <c r="H343" s="390">
        <f t="shared" si="78"/>
        <v>2.1565796861669426</v>
      </c>
      <c r="I343" s="387"/>
      <c r="J343" s="388">
        <f t="shared" si="79"/>
        <v>2.0487507018585953</v>
      </c>
      <c r="K343" s="388">
        <f t="shared" si="80"/>
        <v>2.2644086704752899</v>
      </c>
      <c r="L343" s="1316">
        <v>2.1732528918617664</v>
      </c>
      <c r="M343" s="61" t="b">
        <f t="shared" si="76"/>
        <v>1</v>
      </c>
      <c r="N343" s="857">
        <f t="shared" si="81"/>
        <v>2.1732528918617664</v>
      </c>
      <c r="O343" s="15"/>
      <c r="P343" s="445">
        <f t="shared" si="87"/>
        <v>-0.10079081588809082</v>
      </c>
      <c r="Q343" s="445">
        <f t="shared" si="75"/>
        <v>0.10429163728520066</v>
      </c>
      <c r="R343" s="445">
        <f t="shared" si="74"/>
        <v>0</v>
      </c>
      <c r="S343" s="445">
        <f t="shared" si="74"/>
        <v>3.9289269149005365E-3</v>
      </c>
      <c r="T343" s="445">
        <f t="shared" si="74"/>
        <v>9.0993201544382396E-2</v>
      </c>
      <c r="U343" s="445">
        <f t="shared" si="74"/>
        <v>-1.1908334462992694E-2</v>
      </c>
      <c r="V343" s="445">
        <f t="shared" si="74"/>
        <v>-4.4800498784629256E-4</v>
      </c>
      <c r="W343" s="445">
        <f t="shared" si="74"/>
        <v>-3.7042158186957858E-2</v>
      </c>
      <c r="X343" s="445">
        <f t="shared" si="74"/>
        <v>2.9227535336241533E-3</v>
      </c>
      <c r="Y343" s="43"/>
      <c r="Z343" s="388">
        <f t="shared" si="83"/>
        <v>2.2252000976139863</v>
      </c>
      <c r="AA343" s="43"/>
      <c r="AB343" s="462">
        <f>IF('TAR_Tab 2_Volumina'!C346="storage",1,0)</f>
        <v>0</v>
      </c>
      <c r="AC343" s="389">
        <f t="shared" si="82"/>
        <v>2.2252000976139863</v>
      </c>
      <c r="AD343" s="389">
        <f t="shared" si="84"/>
        <v>2.3749363198966331</v>
      </c>
      <c r="AE343" s="43"/>
      <c r="AF343" s="1027">
        <f t="shared" si="85"/>
        <v>2.3749363198966331</v>
      </c>
      <c r="AG343" s="392">
        <f t="shared" si="86"/>
        <v>2.375</v>
      </c>
      <c r="AH343" s="392">
        <f>AG343+'TAR_Tab 14_Overige tarieven'!$AA$14+'TAR_Tab 14_Overige tarieven'!$AA$15</f>
        <v>2.5550000000000002</v>
      </c>
      <c r="AI343" s="43"/>
    </row>
    <row r="344" spans="1:35">
      <c r="A344" s="96">
        <v>300916</v>
      </c>
      <c r="B344" s="1286" t="s">
        <v>306</v>
      </c>
      <c r="C344" s="1022"/>
      <c r="D344" s="1358"/>
      <c r="E344" s="1022"/>
      <c r="F344" s="1032">
        <v>2.634772648239156</v>
      </c>
      <c r="G344" s="390">
        <f t="shared" si="77"/>
        <v>2.507249652064381</v>
      </c>
      <c r="H344" s="390">
        <f t="shared" si="78"/>
        <v>2.5658465975190565</v>
      </c>
      <c r="I344" s="387"/>
      <c r="J344" s="388">
        <f t="shared" si="79"/>
        <v>2.4375542676431037</v>
      </c>
      <c r="K344" s="388">
        <f t="shared" si="80"/>
        <v>2.6941389273950094</v>
      </c>
      <c r="L344" s="1316">
        <v>2.5856839762981534</v>
      </c>
      <c r="M344" s="61" t="b">
        <f t="shared" si="76"/>
        <v>1</v>
      </c>
      <c r="N344" s="857">
        <f t="shared" si="81"/>
        <v>2.5856839762981534</v>
      </c>
      <c r="O344" s="15"/>
      <c r="P344" s="445">
        <f t="shared" si="87"/>
        <v>-0.11991848651198322</v>
      </c>
      <c r="Q344" s="445">
        <f t="shared" si="75"/>
        <v>0.1240836795386604</v>
      </c>
      <c r="R344" s="445">
        <f t="shared" si="74"/>
        <v>0</v>
      </c>
      <c r="S344" s="445">
        <f t="shared" si="74"/>
        <v>4.6745426664091313E-3</v>
      </c>
      <c r="T344" s="445">
        <f t="shared" si="74"/>
        <v>0.10826152081353969</v>
      </c>
      <c r="U344" s="445">
        <f t="shared" si="74"/>
        <v>-1.4168249687214871E-2</v>
      </c>
      <c r="V344" s="445">
        <f t="shared" si="74"/>
        <v>-5.3302555018502169E-4</v>
      </c>
      <c r="W344" s="445">
        <f t="shared" si="74"/>
        <v>-4.4071868133794066E-2</v>
      </c>
      <c r="X344" s="445">
        <f t="shared" si="74"/>
        <v>3.4774217979236795E-3</v>
      </c>
      <c r="Y344" s="43"/>
      <c r="Z344" s="388">
        <f t="shared" si="83"/>
        <v>2.6474895112315089</v>
      </c>
      <c r="AA344" s="43"/>
      <c r="AB344" s="462">
        <f>IF('TAR_Tab 2_Volumina'!C347="storage",1,0)</f>
        <v>0</v>
      </c>
      <c r="AC344" s="389">
        <f t="shared" si="82"/>
        <v>2.6474895112315089</v>
      </c>
      <c r="AD344" s="389">
        <f t="shared" si="84"/>
        <v>2.8256420640602689</v>
      </c>
      <c r="AE344" s="43"/>
      <c r="AF344" s="1027">
        <f t="shared" si="85"/>
        <v>2.8256420640602689</v>
      </c>
      <c r="AG344" s="392">
        <f t="shared" si="86"/>
        <v>2.8260000000000001</v>
      </c>
      <c r="AH344" s="392">
        <f>AG344+'TAR_Tab 14_Overige tarieven'!$AA$14+'TAR_Tab 14_Overige tarieven'!$AA$15</f>
        <v>3.0060000000000002</v>
      </c>
      <c r="AI344" s="43"/>
    </row>
    <row r="345" spans="1:35">
      <c r="A345" s="96">
        <v>300923</v>
      </c>
      <c r="B345" s="1286" t="s">
        <v>307</v>
      </c>
      <c r="C345" s="1022"/>
      <c r="D345" s="1358"/>
      <c r="E345" s="1022"/>
      <c r="F345" s="1032">
        <v>2.634772648239156</v>
      </c>
      <c r="G345" s="390">
        <f t="shared" si="77"/>
        <v>2.507249652064381</v>
      </c>
      <c r="H345" s="390">
        <f t="shared" si="78"/>
        <v>2.5658465975190565</v>
      </c>
      <c r="I345" s="387"/>
      <c r="J345" s="388">
        <f t="shared" si="79"/>
        <v>2.4375542676431037</v>
      </c>
      <c r="K345" s="388">
        <f t="shared" si="80"/>
        <v>2.6941389273950094</v>
      </c>
      <c r="L345" s="1316">
        <v>2.5856839762981534</v>
      </c>
      <c r="M345" s="61" t="b">
        <f t="shared" si="76"/>
        <v>1</v>
      </c>
      <c r="N345" s="857">
        <f t="shared" si="81"/>
        <v>2.5856839762981534</v>
      </c>
      <c r="O345" s="15"/>
      <c r="P345" s="445">
        <f t="shared" si="87"/>
        <v>-0.11991848651198322</v>
      </c>
      <c r="Q345" s="445">
        <f t="shared" si="75"/>
        <v>0.1240836795386604</v>
      </c>
      <c r="R345" s="445">
        <f t="shared" si="74"/>
        <v>0</v>
      </c>
      <c r="S345" s="445">
        <f t="shared" si="74"/>
        <v>4.6745426664091313E-3</v>
      </c>
      <c r="T345" s="445">
        <f t="shared" ref="R345:X381" si="88">$N345*T$5</f>
        <v>0.10826152081353969</v>
      </c>
      <c r="U345" s="445">
        <f t="shared" si="88"/>
        <v>-1.4168249687214871E-2</v>
      </c>
      <c r="V345" s="445">
        <f t="shared" si="88"/>
        <v>-5.3302555018502169E-4</v>
      </c>
      <c r="W345" s="445">
        <f t="shared" si="88"/>
        <v>-4.4071868133794066E-2</v>
      </c>
      <c r="X345" s="445">
        <f t="shared" si="88"/>
        <v>3.4774217979236795E-3</v>
      </c>
      <c r="Y345" s="43"/>
      <c r="Z345" s="388">
        <f t="shared" si="83"/>
        <v>2.6474895112315089</v>
      </c>
      <c r="AA345" s="43"/>
      <c r="AB345" s="462">
        <f>IF('TAR_Tab 2_Volumina'!C348="storage",1,0)</f>
        <v>0</v>
      </c>
      <c r="AC345" s="389">
        <f t="shared" si="82"/>
        <v>2.6474895112315089</v>
      </c>
      <c r="AD345" s="389">
        <f t="shared" si="84"/>
        <v>2.8256420640602689</v>
      </c>
      <c r="AE345" s="43"/>
      <c r="AF345" s="1027">
        <f t="shared" si="85"/>
        <v>2.8256420640602689</v>
      </c>
      <c r="AG345" s="392">
        <f t="shared" si="86"/>
        <v>2.8260000000000001</v>
      </c>
      <c r="AH345" s="392">
        <f>AG345+'TAR_Tab 14_Overige tarieven'!$AA$14+'TAR_Tab 14_Overige tarieven'!$AA$15</f>
        <v>3.0060000000000002</v>
      </c>
      <c r="AI345" s="43"/>
    </row>
    <row r="346" spans="1:35">
      <c r="A346" s="96">
        <v>300927</v>
      </c>
      <c r="B346" s="1286" t="s">
        <v>202</v>
      </c>
      <c r="C346" s="1022"/>
      <c r="D346" s="1358"/>
      <c r="E346" s="1022"/>
      <c r="F346" s="1032">
        <v>2.4957846413680955</v>
      </c>
      <c r="G346" s="390">
        <f t="shared" si="77"/>
        <v>2.3749886647258798</v>
      </c>
      <c r="H346" s="390">
        <f t="shared" si="78"/>
        <v>2.4304945379155836</v>
      </c>
      <c r="I346" s="387"/>
      <c r="J346" s="388">
        <f t="shared" si="79"/>
        <v>2.3089698110198045</v>
      </c>
      <c r="K346" s="388">
        <f t="shared" si="80"/>
        <v>2.5520192648113627</v>
      </c>
      <c r="L346" s="1316">
        <v>2.449285466732519</v>
      </c>
      <c r="M346" s="61" t="b">
        <f t="shared" si="76"/>
        <v>1</v>
      </c>
      <c r="N346" s="857">
        <f t="shared" si="81"/>
        <v>2.449285466732519</v>
      </c>
      <c r="O346" s="15"/>
      <c r="P346" s="445">
        <f t="shared" si="87"/>
        <v>-0.11359261568649334</v>
      </c>
      <c r="Q346" s="445">
        <f t="shared" si="75"/>
        <v>0.11753808885331925</v>
      </c>
      <c r="R346" s="445">
        <f t="shared" si="88"/>
        <v>0</v>
      </c>
      <c r="S346" s="445">
        <f t="shared" si="88"/>
        <v>4.4279538881810947E-3</v>
      </c>
      <c r="T346" s="445">
        <f t="shared" si="88"/>
        <v>0.10255057151825235</v>
      </c>
      <c r="U346" s="445">
        <f t="shared" si="88"/>
        <v>-1.3420854352671081E-2</v>
      </c>
      <c r="V346" s="445">
        <f t="shared" si="88"/>
        <v>-5.0490769383750044E-4</v>
      </c>
      <c r="W346" s="445">
        <f t="shared" si="88"/>
        <v>-4.1747014368861454E-2</v>
      </c>
      <c r="X346" s="445">
        <f t="shared" si="88"/>
        <v>3.2939828491907021E-3</v>
      </c>
      <c r="Y346" s="43"/>
      <c r="Z346" s="388">
        <f t="shared" si="83"/>
        <v>2.5078306717395988</v>
      </c>
      <c r="AA346" s="43"/>
      <c r="AB346" s="462">
        <f>IF('TAR_Tab 2_Volumina'!C349="storage",1,0)</f>
        <v>0</v>
      </c>
      <c r="AC346" s="389">
        <f t="shared" si="82"/>
        <v>2.5078306717395988</v>
      </c>
      <c r="AD346" s="389">
        <f t="shared" si="84"/>
        <v>2.6765854238688531</v>
      </c>
      <c r="AE346" s="43"/>
      <c r="AF346" s="1027">
        <f t="shared" si="85"/>
        <v>2.6765854238688531</v>
      </c>
      <c r="AG346" s="392">
        <f t="shared" si="86"/>
        <v>2.677</v>
      </c>
      <c r="AH346" s="392">
        <f>AG346+'TAR_Tab 14_Overige tarieven'!$AA$14+'TAR_Tab 14_Overige tarieven'!$AA$15</f>
        <v>2.8570000000000002</v>
      </c>
      <c r="AI346" s="43"/>
    </row>
    <row r="347" spans="1:35">
      <c r="A347" s="96">
        <v>300940</v>
      </c>
      <c r="B347" s="1286" t="s">
        <v>203</v>
      </c>
      <c r="C347" s="1022"/>
      <c r="D347" s="1358"/>
      <c r="E347" s="1022"/>
      <c r="F347" s="1032">
        <v>1.9758483311719455</v>
      </c>
      <c r="G347" s="390">
        <f t="shared" si="77"/>
        <v>1.8802172719432233</v>
      </c>
      <c r="H347" s="390">
        <f t="shared" si="78"/>
        <v>1.9241598401818034</v>
      </c>
      <c r="I347" s="387"/>
      <c r="J347" s="388">
        <f t="shared" si="79"/>
        <v>1.8279518481727131</v>
      </c>
      <c r="K347" s="388">
        <f t="shared" si="80"/>
        <v>2.0203678321908938</v>
      </c>
      <c r="L347" s="1316">
        <v>1.9390361338846771</v>
      </c>
      <c r="M347" s="61" t="b">
        <f t="shared" si="76"/>
        <v>1</v>
      </c>
      <c r="N347" s="857">
        <f t="shared" si="81"/>
        <v>1.9390361338846771</v>
      </c>
      <c r="O347" s="15"/>
      <c r="P347" s="445">
        <f t="shared" si="87"/>
        <v>-8.992834414374129E-2</v>
      </c>
      <c r="Q347" s="445">
        <f t="shared" si="75"/>
        <v>9.3051873491242748E-2</v>
      </c>
      <c r="R347" s="445">
        <f t="shared" si="88"/>
        <v>0</v>
      </c>
      <c r="S347" s="445">
        <f t="shared" si="88"/>
        <v>3.5054968908187082E-3</v>
      </c>
      <c r="T347" s="445">
        <f t="shared" si="88"/>
        <v>8.1186642563837993E-2</v>
      </c>
      <c r="U347" s="445">
        <f t="shared" si="88"/>
        <v>-1.0624944250434589E-2</v>
      </c>
      <c r="V347" s="445">
        <f t="shared" si="88"/>
        <v>-3.9972239901189647E-4</v>
      </c>
      <c r="W347" s="445">
        <f t="shared" si="88"/>
        <v>-3.3050034568251264E-2</v>
      </c>
      <c r="X347" s="445">
        <f t="shared" si="88"/>
        <v>2.60776126577764E-3</v>
      </c>
      <c r="Y347" s="43"/>
      <c r="Z347" s="388">
        <f t="shared" si="83"/>
        <v>1.9853848627349151</v>
      </c>
      <c r="AA347" s="43"/>
      <c r="AB347" s="462">
        <f>IF('TAR_Tab 2_Volumina'!C350="storage",1,0)</f>
        <v>0</v>
      </c>
      <c r="AC347" s="389">
        <f t="shared" si="82"/>
        <v>1.9853848627349151</v>
      </c>
      <c r="AD347" s="389">
        <f t="shared" si="84"/>
        <v>2.1189836476000812</v>
      </c>
      <c r="AE347" s="43"/>
      <c r="AF347" s="1027">
        <f t="shared" si="85"/>
        <v>2.1189836476000812</v>
      </c>
      <c r="AG347" s="392">
        <f t="shared" si="86"/>
        <v>2.1190000000000002</v>
      </c>
      <c r="AH347" s="392">
        <f>AG347+'TAR_Tab 14_Overige tarieven'!$AA$14+'TAR_Tab 14_Overige tarieven'!$AA$15</f>
        <v>2.2990000000000004</v>
      </c>
      <c r="AI347" s="43"/>
    </row>
    <row r="348" spans="1:35">
      <c r="A348" s="96">
        <v>300942</v>
      </c>
      <c r="B348" s="1286" t="s">
        <v>204</v>
      </c>
      <c r="C348" s="1022"/>
      <c r="D348" s="1358"/>
      <c r="E348" s="1022"/>
      <c r="F348" s="1032">
        <v>2.5777775662848357</v>
      </c>
      <c r="G348" s="390">
        <f t="shared" si="77"/>
        <v>2.4530131320766495</v>
      </c>
      <c r="H348" s="390">
        <f t="shared" si="78"/>
        <v>2.5103425155233867</v>
      </c>
      <c r="I348" s="387"/>
      <c r="J348" s="388">
        <f t="shared" si="79"/>
        <v>2.3848253897472174</v>
      </c>
      <c r="K348" s="388">
        <f t="shared" si="80"/>
        <v>2.6358596412995561</v>
      </c>
      <c r="L348" s="1316">
        <v>2.5297507745338272</v>
      </c>
      <c r="M348" s="61" t="b">
        <f t="shared" si="76"/>
        <v>1</v>
      </c>
      <c r="N348" s="857">
        <f t="shared" si="81"/>
        <v>2.5297507745338272</v>
      </c>
      <c r="O348" s="15"/>
      <c r="P348" s="445">
        <f t="shared" si="87"/>
        <v>-0.11732442437491178</v>
      </c>
      <c r="Q348" s="445">
        <f t="shared" si="75"/>
        <v>0.12139951645186577</v>
      </c>
      <c r="R348" s="445">
        <f t="shared" si="88"/>
        <v>0</v>
      </c>
      <c r="S348" s="445">
        <f t="shared" si="88"/>
        <v>4.5734235271357613E-3</v>
      </c>
      <c r="T348" s="445">
        <f t="shared" si="88"/>
        <v>0.10591962074281031</v>
      </c>
      <c r="U348" s="445">
        <f t="shared" si="88"/>
        <v>-1.3861763830603382E-2</v>
      </c>
      <c r="V348" s="445">
        <f t="shared" si="88"/>
        <v>-5.2149520621517457E-4</v>
      </c>
      <c r="W348" s="445">
        <f t="shared" si="88"/>
        <v>-4.311851083450513E-2</v>
      </c>
      <c r="X348" s="445">
        <f t="shared" si="88"/>
        <v>3.4021986318964856E-3</v>
      </c>
      <c r="Y348" s="43"/>
      <c r="Z348" s="388">
        <f t="shared" si="83"/>
        <v>2.5902193396413002</v>
      </c>
      <c r="AA348" s="43"/>
      <c r="AB348" s="462">
        <f>IF('TAR_Tab 2_Volumina'!C351="storage",1,0)</f>
        <v>0</v>
      </c>
      <c r="AC348" s="389">
        <f t="shared" si="82"/>
        <v>2.5902193396413002</v>
      </c>
      <c r="AD348" s="389">
        <f t="shared" si="84"/>
        <v>2.7645181180824929</v>
      </c>
      <c r="AE348" s="43"/>
      <c r="AF348" s="1027">
        <f t="shared" si="85"/>
        <v>2.7645181180824929</v>
      </c>
      <c r="AG348" s="392">
        <f t="shared" si="86"/>
        <v>2.7650000000000001</v>
      </c>
      <c r="AH348" s="392">
        <f>AG348+'TAR_Tab 14_Overige tarieven'!$AA$14+'TAR_Tab 14_Overige tarieven'!$AA$15</f>
        <v>2.9450000000000003</v>
      </c>
      <c r="AI348" s="43"/>
    </row>
    <row r="349" spans="1:35">
      <c r="A349" s="96">
        <v>300952</v>
      </c>
      <c r="B349" s="1286" t="s">
        <v>205</v>
      </c>
      <c r="C349" s="1022"/>
      <c r="D349" s="1358"/>
      <c r="E349" s="1022"/>
      <c r="F349" s="1032">
        <v>2.4957846413680955</v>
      </c>
      <c r="G349" s="390">
        <f t="shared" si="77"/>
        <v>2.3749886647258798</v>
      </c>
      <c r="H349" s="390">
        <f t="shared" si="78"/>
        <v>2.4304945379155836</v>
      </c>
      <c r="I349" s="387"/>
      <c r="J349" s="388">
        <f t="shared" si="79"/>
        <v>2.3089698110198045</v>
      </c>
      <c r="K349" s="388">
        <f t="shared" si="80"/>
        <v>2.5520192648113627</v>
      </c>
      <c r="L349" s="1316">
        <v>2.449285466732519</v>
      </c>
      <c r="M349" s="61" t="b">
        <f t="shared" si="76"/>
        <v>1</v>
      </c>
      <c r="N349" s="857">
        <f t="shared" si="81"/>
        <v>2.449285466732519</v>
      </c>
      <c r="O349" s="15"/>
      <c r="P349" s="445">
        <f t="shared" si="87"/>
        <v>-0.11359261568649334</v>
      </c>
      <c r="Q349" s="445">
        <f t="shared" si="75"/>
        <v>0.11753808885331925</v>
      </c>
      <c r="R349" s="445">
        <f t="shared" si="88"/>
        <v>0</v>
      </c>
      <c r="S349" s="445">
        <f t="shared" si="88"/>
        <v>4.4279538881810947E-3</v>
      </c>
      <c r="T349" s="445">
        <f t="shared" si="88"/>
        <v>0.10255057151825235</v>
      </c>
      <c r="U349" s="445">
        <f t="shared" si="88"/>
        <v>-1.3420854352671081E-2</v>
      </c>
      <c r="V349" s="445">
        <f t="shared" si="88"/>
        <v>-5.0490769383750044E-4</v>
      </c>
      <c r="W349" s="445">
        <f t="shared" si="88"/>
        <v>-4.1747014368861454E-2</v>
      </c>
      <c r="X349" s="445">
        <f t="shared" si="88"/>
        <v>3.2939828491907021E-3</v>
      </c>
      <c r="Y349" s="43"/>
      <c r="Z349" s="388">
        <f t="shared" si="83"/>
        <v>2.5078306717395988</v>
      </c>
      <c r="AA349" s="43"/>
      <c r="AB349" s="462">
        <f>IF('TAR_Tab 2_Volumina'!C352="storage",1,0)</f>
        <v>0</v>
      </c>
      <c r="AC349" s="389">
        <f t="shared" si="82"/>
        <v>2.5078306717395988</v>
      </c>
      <c r="AD349" s="389">
        <f t="shared" si="84"/>
        <v>2.6765854238688531</v>
      </c>
      <c r="AE349" s="43"/>
      <c r="AF349" s="1027">
        <f t="shared" si="85"/>
        <v>2.6765854238688531</v>
      </c>
      <c r="AG349" s="392">
        <f t="shared" si="86"/>
        <v>2.677</v>
      </c>
      <c r="AH349" s="392">
        <f>AG349+'TAR_Tab 14_Overige tarieven'!$AA$14+'TAR_Tab 14_Overige tarieven'!$AA$15</f>
        <v>2.8570000000000002</v>
      </c>
      <c r="AI349" s="43"/>
    </row>
    <row r="350" spans="1:35">
      <c r="A350" s="96">
        <v>300954</v>
      </c>
      <c r="B350" s="1286" t="s">
        <v>308</v>
      </c>
      <c r="C350" s="1022"/>
      <c r="D350" s="1358"/>
      <c r="E350" s="1022"/>
      <c r="F350" s="1032">
        <v>2.2148088864704847</v>
      </c>
      <c r="G350" s="390">
        <f t="shared" si="77"/>
        <v>2.1076121363653133</v>
      </c>
      <c r="H350" s="390">
        <f t="shared" si="78"/>
        <v>2.1568691512351825</v>
      </c>
      <c r="I350" s="387"/>
      <c r="J350" s="388">
        <f t="shared" si="79"/>
        <v>2.0490256936734235</v>
      </c>
      <c r="K350" s="388">
        <f t="shared" si="80"/>
        <v>2.2647126087969416</v>
      </c>
      <c r="L350" s="1316">
        <v>2.1735445948768142</v>
      </c>
      <c r="M350" s="61" t="b">
        <f t="shared" si="76"/>
        <v>1</v>
      </c>
      <c r="N350" s="857">
        <f t="shared" si="81"/>
        <v>2.1735445948768142</v>
      </c>
      <c r="O350" s="15"/>
      <c r="P350" s="445">
        <f t="shared" si="87"/>
        <v>-0.10080434444935205</v>
      </c>
      <c r="Q350" s="445">
        <f t="shared" si="75"/>
        <v>0.10430563574122678</v>
      </c>
      <c r="R350" s="445">
        <f t="shared" si="88"/>
        <v>0</v>
      </c>
      <c r="S350" s="445">
        <f t="shared" si="88"/>
        <v>3.9294542717632705E-3</v>
      </c>
      <c r="T350" s="445">
        <f t="shared" si="88"/>
        <v>9.1005415029218314E-2</v>
      </c>
      <c r="U350" s="445">
        <f t="shared" si="88"/>
        <v>-1.1909932849025015E-2</v>
      </c>
      <c r="V350" s="445">
        <f t="shared" si="88"/>
        <v>-4.4806512093351888E-4</v>
      </c>
      <c r="W350" s="445">
        <f t="shared" si="88"/>
        <v>-3.7047130139033692E-2</v>
      </c>
      <c r="X350" s="445">
        <f t="shared" si="88"/>
        <v>2.9231458377233185E-3</v>
      </c>
      <c r="Y350" s="43"/>
      <c r="Z350" s="388">
        <f t="shared" si="83"/>
        <v>2.2254987731984017</v>
      </c>
      <c r="AA350" s="43"/>
      <c r="AB350" s="462">
        <f>IF('TAR_Tab 2_Volumina'!C353="storage",1,0)</f>
        <v>0</v>
      </c>
      <c r="AC350" s="389">
        <f t="shared" si="82"/>
        <v>2.2254987731984017</v>
      </c>
      <c r="AD350" s="389">
        <f t="shared" si="84"/>
        <v>2.3752550936977199</v>
      </c>
      <c r="AE350" s="43"/>
      <c r="AF350" s="1027">
        <f t="shared" si="85"/>
        <v>2.3752550936977199</v>
      </c>
      <c r="AG350" s="392">
        <f t="shared" si="86"/>
        <v>2.375</v>
      </c>
      <c r="AH350" s="392">
        <f>AG350+'TAR_Tab 14_Overige tarieven'!$AA$14+'TAR_Tab 14_Overige tarieven'!$AA$15</f>
        <v>2.5550000000000002</v>
      </c>
      <c r="AI350" s="43"/>
    </row>
    <row r="351" spans="1:35">
      <c r="A351" s="96">
        <v>300958</v>
      </c>
      <c r="B351" s="1286" t="s">
        <v>206</v>
      </c>
      <c r="C351" s="1022"/>
      <c r="D351" s="1358"/>
      <c r="E351" s="1022"/>
      <c r="F351" s="1032">
        <v>2.1338158752722416</v>
      </c>
      <c r="G351" s="390">
        <f t="shared" si="77"/>
        <v>2.0305391869090652</v>
      </c>
      <c r="H351" s="390">
        <f t="shared" si="78"/>
        <v>2.0779949294518647</v>
      </c>
      <c r="I351" s="387"/>
      <c r="J351" s="388">
        <f t="shared" si="79"/>
        <v>1.9740951829792714</v>
      </c>
      <c r="K351" s="388">
        <f t="shared" si="80"/>
        <v>2.181894675924458</v>
      </c>
      <c r="L351" s="1316">
        <v>2.0940605713169851</v>
      </c>
      <c r="M351" s="61" t="b">
        <f t="shared" si="76"/>
        <v>1</v>
      </c>
      <c r="N351" s="857">
        <f t="shared" si="81"/>
        <v>2.0940605713169851</v>
      </c>
      <c r="O351" s="15"/>
      <c r="P351" s="445">
        <f t="shared" si="87"/>
        <v>-9.7118045622987481E-2</v>
      </c>
      <c r="Q351" s="445">
        <f t="shared" si="75"/>
        <v>0.10049129872315034</v>
      </c>
      <c r="R351" s="445">
        <f t="shared" si="88"/>
        <v>0</v>
      </c>
      <c r="S351" s="445">
        <f t="shared" si="88"/>
        <v>3.7857586527958557E-3</v>
      </c>
      <c r="T351" s="445">
        <f t="shared" si="88"/>
        <v>8.76774517708135E-2</v>
      </c>
      <c r="U351" s="445">
        <f t="shared" si="88"/>
        <v>-1.1474400315945547E-2</v>
      </c>
      <c r="V351" s="445">
        <f t="shared" si="88"/>
        <v>-4.3167989529215771E-4</v>
      </c>
      <c r="W351" s="445">
        <f t="shared" si="88"/>
        <v>-3.5692359240044207E-2</v>
      </c>
      <c r="X351" s="445">
        <f t="shared" si="88"/>
        <v>2.8162497596846783E-3</v>
      </c>
      <c r="Y351" s="43"/>
      <c r="Z351" s="388">
        <f t="shared" si="83"/>
        <v>2.1441148451491601</v>
      </c>
      <c r="AA351" s="43"/>
      <c r="AB351" s="462">
        <f>IF('TAR_Tab 2_Volumina'!C354="storage",1,0)</f>
        <v>0</v>
      </c>
      <c r="AC351" s="389">
        <f t="shared" si="82"/>
        <v>2.1441148451491601</v>
      </c>
      <c r="AD351" s="389">
        <f t="shared" si="84"/>
        <v>2.2883947494135146</v>
      </c>
      <c r="AE351" s="43"/>
      <c r="AF351" s="1027">
        <f t="shared" si="85"/>
        <v>2.2883947494135146</v>
      </c>
      <c r="AG351" s="392">
        <f t="shared" si="86"/>
        <v>2.2879999999999998</v>
      </c>
      <c r="AH351" s="392">
        <f>AG351+'TAR_Tab 14_Overige tarieven'!$AA$14+'TAR_Tab 14_Overige tarieven'!$AA$15</f>
        <v>2.468</v>
      </c>
      <c r="AI351" s="43"/>
    </row>
    <row r="352" spans="1:35">
      <c r="A352" s="96">
        <v>300965</v>
      </c>
      <c r="B352" s="1286" t="s">
        <v>207</v>
      </c>
      <c r="C352" s="1022"/>
      <c r="D352" s="1358"/>
      <c r="E352" s="1022"/>
      <c r="F352" s="1032">
        <v>2.8437546154049937</v>
      </c>
      <c r="G352" s="390">
        <f t="shared" si="77"/>
        <v>2.7061168920193919</v>
      </c>
      <c r="H352" s="390">
        <f t="shared" si="78"/>
        <v>2.7693615648365064</v>
      </c>
      <c r="I352" s="387"/>
      <c r="J352" s="388">
        <f t="shared" si="79"/>
        <v>2.6308934865946809</v>
      </c>
      <c r="K352" s="388">
        <f t="shared" si="80"/>
        <v>2.9078296430783319</v>
      </c>
      <c r="L352" s="1316">
        <v>2.7907723827673419</v>
      </c>
      <c r="M352" s="61" t="b">
        <f t="shared" si="76"/>
        <v>1</v>
      </c>
      <c r="N352" s="857">
        <f t="shared" si="81"/>
        <v>2.7907723827673419</v>
      </c>
      <c r="O352" s="15"/>
      <c r="P352" s="445">
        <f t="shared" si="87"/>
        <v>-0.12943004768124486</v>
      </c>
      <c r="Q352" s="445">
        <f t="shared" si="75"/>
        <v>0.13392561085690705</v>
      </c>
      <c r="R352" s="445">
        <f t="shared" si="88"/>
        <v>0</v>
      </c>
      <c r="S352" s="445">
        <f t="shared" si="88"/>
        <v>5.0453128437448064E-3</v>
      </c>
      <c r="T352" s="445">
        <f t="shared" si="88"/>
        <v>0.11684848773954717</v>
      </c>
      <c r="U352" s="445">
        <f t="shared" si="88"/>
        <v>-1.5292031161456957E-2</v>
      </c>
      <c r="V352" s="445">
        <f t="shared" si="88"/>
        <v>-5.7530347807445968E-4</v>
      </c>
      <c r="W352" s="445">
        <f t="shared" si="88"/>
        <v>-4.7567511564520035E-2</v>
      </c>
      <c r="X352" s="445">
        <f t="shared" si="88"/>
        <v>3.7532400733567141E-3</v>
      </c>
      <c r="Y352" s="43"/>
      <c r="Z352" s="388">
        <f t="shared" si="83"/>
        <v>2.8574801403956012</v>
      </c>
      <c r="AA352" s="43"/>
      <c r="AB352" s="462">
        <f>IF('TAR_Tab 2_Volumina'!C355="storage",1,0)</f>
        <v>0</v>
      </c>
      <c r="AC352" s="389">
        <f t="shared" si="82"/>
        <v>2.8574801403956012</v>
      </c>
      <c r="AD352" s="389">
        <f t="shared" si="84"/>
        <v>3.0497631993121073</v>
      </c>
      <c r="AE352" s="43"/>
      <c r="AF352" s="1027">
        <f t="shared" si="85"/>
        <v>3.0497631993121073</v>
      </c>
      <c r="AG352" s="392">
        <f t="shared" si="86"/>
        <v>3.05</v>
      </c>
      <c r="AH352" s="392">
        <f>AG352+'TAR_Tab 14_Overige tarieven'!$AA$14+'TAR_Tab 14_Overige tarieven'!$AA$15</f>
        <v>3.23</v>
      </c>
      <c r="AI352" s="43"/>
    </row>
    <row r="353" spans="1:35">
      <c r="A353" s="96">
        <v>300968</v>
      </c>
      <c r="B353" s="1286" t="s">
        <v>208</v>
      </c>
      <c r="C353" s="1022"/>
      <c r="D353" s="1358"/>
      <c r="E353" s="1022"/>
      <c r="F353" s="1032">
        <v>1.8534113892313402</v>
      </c>
      <c r="G353" s="390">
        <f t="shared" si="77"/>
        <v>1.7637062779925434</v>
      </c>
      <c r="H353" s="390">
        <f t="shared" si="78"/>
        <v>1.8049258671485353</v>
      </c>
      <c r="I353" s="387"/>
      <c r="J353" s="388">
        <f t="shared" si="79"/>
        <v>1.7146795737911085</v>
      </c>
      <c r="K353" s="388">
        <f t="shared" si="80"/>
        <v>1.8951721605059622</v>
      </c>
      <c r="L353" s="1316">
        <v>1.8188803249596279</v>
      </c>
      <c r="M353" s="61" t="b">
        <f t="shared" si="76"/>
        <v>1</v>
      </c>
      <c r="N353" s="857">
        <f t="shared" si="81"/>
        <v>1.8188803249596279</v>
      </c>
      <c r="O353" s="15"/>
      <c r="P353" s="445">
        <f t="shared" si="87"/>
        <v>-8.4355774996082447E-2</v>
      </c>
      <c r="Q353" s="445">
        <f t="shared" si="75"/>
        <v>8.7285749314416766E-2</v>
      </c>
      <c r="R353" s="445">
        <f t="shared" si="88"/>
        <v>0</v>
      </c>
      <c r="S353" s="445">
        <f t="shared" si="88"/>
        <v>3.2882725661968044E-3</v>
      </c>
      <c r="T353" s="445">
        <f t="shared" si="88"/>
        <v>7.6155768439989946E-2</v>
      </c>
      <c r="U353" s="445">
        <f t="shared" si="88"/>
        <v>-9.9665507584902838E-3</v>
      </c>
      <c r="V353" s="445">
        <f t="shared" si="88"/>
        <v>-3.7495289247231785E-4</v>
      </c>
      <c r="W353" s="445">
        <f t="shared" si="88"/>
        <v>-3.1002030630030042E-2</v>
      </c>
      <c r="X353" s="445">
        <f t="shared" si="88"/>
        <v>2.4461667194474591E-3</v>
      </c>
      <c r="Y353" s="43"/>
      <c r="Z353" s="388">
        <f t="shared" si="83"/>
        <v>1.8623569727226039</v>
      </c>
      <c r="AA353" s="43"/>
      <c r="AB353" s="462">
        <f>IF('TAR_Tab 2_Volumina'!C356="storage",1,0)</f>
        <v>0</v>
      </c>
      <c r="AC353" s="389">
        <f t="shared" si="82"/>
        <v>1.8623569727226039</v>
      </c>
      <c r="AD353" s="389">
        <f t="shared" si="84"/>
        <v>1.9876770722211816</v>
      </c>
      <c r="AE353" s="43"/>
      <c r="AF353" s="1027">
        <f t="shared" si="85"/>
        <v>1.9876770722211816</v>
      </c>
      <c r="AG353" s="392">
        <f t="shared" si="86"/>
        <v>1.988</v>
      </c>
      <c r="AH353" s="392">
        <f>AG353+'TAR_Tab 14_Overige tarieven'!$AA$14+'TAR_Tab 14_Overige tarieven'!$AA$15</f>
        <v>2.1680000000000001</v>
      </c>
      <c r="AI353" s="43"/>
    </row>
    <row r="354" spans="1:35">
      <c r="A354" s="96">
        <v>300975</v>
      </c>
      <c r="B354" s="1286" t="s">
        <v>815</v>
      </c>
      <c r="C354" s="1022"/>
      <c r="D354" s="1358"/>
      <c r="E354" s="1022"/>
      <c r="F354" s="1032">
        <v>1.9758483311719455</v>
      </c>
      <c r="G354" s="390">
        <f t="shared" ref="G354:G387" si="89">F354*$G$5</f>
        <v>1.8802172719432233</v>
      </c>
      <c r="H354" s="390">
        <f t="shared" ref="H354:H387" si="90">G354*$H$5</f>
        <v>1.9241598401818034</v>
      </c>
      <c r="I354" s="387"/>
      <c r="J354" s="388">
        <f t="shared" ref="J354:J387" si="91">H354*$J$5</f>
        <v>1.8279518481727131</v>
      </c>
      <c r="K354" s="388">
        <f t="shared" ref="K354:K387" si="92">H354*$K$5</f>
        <v>2.0203678321908938</v>
      </c>
      <c r="L354" s="1316">
        <v>1.9390361338846771</v>
      </c>
      <c r="M354" s="61" t="b">
        <f t="shared" ref="M354:M387" si="93">IF(L354&gt;0,AND(L354&gt;=J354,L354&lt;=K354),"")</f>
        <v>1</v>
      </c>
      <c r="N354" s="857">
        <f t="shared" si="81"/>
        <v>1.9390361338846771</v>
      </c>
      <c r="O354" s="15"/>
      <c r="P354" s="445">
        <f t="shared" si="87"/>
        <v>-8.992834414374129E-2</v>
      </c>
      <c r="Q354" s="445">
        <f t="shared" si="75"/>
        <v>9.3051873491242748E-2</v>
      </c>
      <c r="R354" s="445">
        <f t="shared" si="88"/>
        <v>0</v>
      </c>
      <c r="S354" s="445">
        <f t="shared" si="88"/>
        <v>3.5054968908187082E-3</v>
      </c>
      <c r="T354" s="445">
        <f t="shared" si="88"/>
        <v>8.1186642563837993E-2</v>
      </c>
      <c r="U354" s="445">
        <f t="shared" si="88"/>
        <v>-1.0624944250434589E-2</v>
      </c>
      <c r="V354" s="445">
        <f t="shared" si="88"/>
        <v>-3.9972239901189647E-4</v>
      </c>
      <c r="W354" s="445">
        <f t="shared" si="88"/>
        <v>-3.3050034568251264E-2</v>
      </c>
      <c r="X354" s="445">
        <f t="shared" si="88"/>
        <v>2.60776126577764E-3</v>
      </c>
      <c r="Y354" s="43"/>
      <c r="Z354" s="388">
        <f t="shared" si="83"/>
        <v>1.9853848627349151</v>
      </c>
      <c r="AA354" s="43"/>
      <c r="AB354" s="462">
        <f>IF('TAR_Tab 2_Volumina'!C357="storage",1,0)</f>
        <v>0</v>
      </c>
      <c r="AC354" s="389">
        <f t="shared" si="82"/>
        <v>1.9853848627349151</v>
      </c>
      <c r="AD354" s="389">
        <f t="shared" si="84"/>
        <v>2.1189836476000812</v>
      </c>
      <c r="AE354" s="43"/>
      <c r="AF354" s="1027">
        <f t="shared" si="85"/>
        <v>2.1189836476000812</v>
      </c>
      <c r="AG354" s="392">
        <f t="shared" si="86"/>
        <v>2.1190000000000002</v>
      </c>
      <c r="AH354" s="392">
        <f>AG354+'TAR_Tab 14_Overige tarieven'!$AA$14+'TAR_Tab 14_Overige tarieven'!$AA$15</f>
        <v>2.2990000000000004</v>
      </c>
      <c r="AI354" s="43"/>
    </row>
    <row r="355" spans="1:35">
      <c r="A355" s="96">
        <v>300982</v>
      </c>
      <c r="B355" s="1286" t="s">
        <v>209</v>
      </c>
      <c r="C355" s="1022"/>
      <c r="D355" s="1358"/>
      <c r="E355" s="1022"/>
      <c r="F355" s="1032">
        <v>3.1132697773158315</v>
      </c>
      <c r="G355" s="390">
        <f t="shared" si="89"/>
        <v>2.9625875200937455</v>
      </c>
      <c r="H355" s="390">
        <f t="shared" si="90"/>
        <v>3.0318261693749209</v>
      </c>
      <c r="I355" s="387"/>
      <c r="J355" s="388">
        <f t="shared" si="91"/>
        <v>2.8802348609061745</v>
      </c>
      <c r="K355" s="388">
        <f t="shared" si="92"/>
        <v>3.1834174778436672</v>
      </c>
      <c r="L355" s="1316">
        <v>3.0552661849130365</v>
      </c>
      <c r="M355" s="61" t="b">
        <f t="shared" si="93"/>
        <v>1</v>
      </c>
      <c r="N355" s="857">
        <f t="shared" si="81"/>
        <v>3.0552661849130365</v>
      </c>
      <c r="O355" s="15"/>
      <c r="P355" s="445">
        <f t="shared" si="87"/>
        <v>-0.14169670390677513</v>
      </c>
      <c r="Q355" s="445">
        <f t="shared" si="75"/>
        <v>0.14661833142378572</v>
      </c>
      <c r="R355" s="445">
        <f t="shared" si="88"/>
        <v>0</v>
      </c>
      <c r="S355" s="445">
        <f t="shared" si="88"/>
        <v>5.5234793847700261E-3</v>
      </c>
      <c r="T355" s="445">
        <f t="shared" si="88"/>
        <v>0.12792273406219465</v>
      </c>
      <c r="U355" s="445">
        <f t="shared" si="88"/>
        <v>-1.674132437125055E-2</v>
      </c>
      <c r="V355" s="445">
        <f t="shared" si="88"/>
        <v>-6.2982752498102589E-4</v>
      </c>
      <c r="W355" s="445">
        <f t="shared" si="88"/>
        <v>-5.2075694342161513E-2</v>
      </c>
      <c r="X355" s="445">
        <f t="shared" si="88"/>
        <v>4.1089511816855594E-3</v>
      </c>
      <c r="Y355" s="43"/>
      <c r="Z355" s="388">
        <f t="shared" si="83"/>
        <v>3.1282961308203041</v>
      </c>
      <c r="AA355" s="43"/>
      <c r="AB355" s="462">
        <f>IF('TAR_Tab 2_Volumina'!C358="storage",1,0)</f>
        <v>0</v>
      </c>
      <c r="AC355" s="389">
        <f t="shared" si="82"/>
        <v>3.1282961308203041</v>
      </c>
      <c r="AD355" s="389">
        <f t="shared" si="84"/>
        <v>3.3388027029316056</v>
      </c>
      <c r="AE355" s="43"/>
      <c r="AF355" s="1027">
        <f t="shared" si="85"/>
        <v>3.3388027029316056</v>
      </c>
      <c r="AG355" s="392">
        <f t="shared" si="86"/>
        <v>3.339</v>
      </c>
      <c r="AH355" s="392">
        <f>AG355+'TAR_Tab 14_Overige tarieven'!$AA$14+'TAR_Tab 14_Overige tarieven'!$AA$15</f>
        <v>3.5190000000000001</v>
      </c>
      <c r="AI355" s="43"/>
    </row>
    <row r="356" spans="1:35">
      <c r="A356" s="96">
        <v>300983</v>
      </c>
      <c r="B356" s="1286" t="s">
        <v>309</v>
      </c>
      <c r="C356" s="1022"/>
      <c r="D356" s="1358"/>
      <c r="E356" s="1022"/>
      <c r="F356" s="1032">
        <v>1.8534113892313402</v>
      </c>
      <c r="G356" s="390">
        <f t="shared" si="89"/>
        <v>1.7637062779925434</v>
      </c>
      <c r="H356" s="390">
        <f t="shared" si="90"/>
        <v>1.8049258671485353</v>
      </c>
      <c r="I356" s="387"/>
      <c r="J356" s="388">
        <f t="shared" si="91"/>
        <v>1.7146795737911085</v>
      </c>
      <c r="K356" s="388">
        <f t="shared" si="92"/>
        <v>1.8951721605059622</v>
      </c>
      <c r="L356" s="1316">
        <v>1.8188803249596279</v>
      </c>
      <c r="M356" s="61" t="b">
        <f t="shared" si="93"/>
        <v>1</v>
      </c>
      <c r="N356" s="857">
        <f t="shared" si="81"/>
        <v>1.8188803249596279</v>
      </c>
      <c r="O356" s="15"/>
      <c r="P356" s="445">
        <f t="shared" si="87"/>
        <v>-8.4355774996082447E-2</v>
      </c>
      <c r="Q356" s="445">
        <f t="shared" si="75"/>
        <v>8.7285749314416766E-2</v>
      </c>
      <c r="R356" s="445">
        <f t="shared" si="88"/>
        <v>0</v>
      </c>
      <c r="S356" s="445">
        <f t="shared" si="88"/>
        <v>3.2882725661968044E-3</v>
      </c>
      <c r="T356" s="445">
        <f t="shared" si="88"/>
        <v>7.6155768439989946E-2</v>
      </c>
      <c r="U356" s="445">
        <f t="shared" si="88"/>
        <v>-9.9665507584902838E-3</v>
      </c>
      <c r="V356" s="445">
        <f t="shared" si="88"/>
        <v>-3.7495289247231785E-4</v>
      </c>
      <c r="W356" s="445">
        <f t="shared" si="88"/>
        <v>-3.1002030630030042E-2</v>
      </c>
      <c r="X356" s="445">
        <f t="shared" si="88"/>
        <v>2.4461667194474591E-3</v>
      </c>
      <c r="Y356" s="43"/>
      <c r="Z356" s="388">
        <f t="shared" si="83"/>
        <v>1.8623569727226039</v>
      </c>
      <c r="AA356" s="43"/>
      <c r="AB356" s="462">
        <f>IF('TAR_Tab 2_Volumina'!C359="storage",1,0)</f>
        <v>0</v>
      </c>
      <c r="AC356" s="389">
        <f t="shared" si="82"/>
        <v>1.8623569727226039</v>
      </c>
      <c r="AD356" s="389">
        <f t="shared" si="84"/>
        <v>1.9876770722211816</v>
      </c>
      <c r="AE356" s="43"/>
      <c r="AF356" s="1027">
        <f t="shared" si="85"/>
        <v>1.9876770722211816</v>
      </c>
      <c r="AG356" s="392">
        <f t="shared" si="86"/>
        <v>1.988</v>
      </c>
      <c r="AH356" s="392">
        <f>AG356+'TAR_Tab 14_Overige tarieven'!$AA$14+'TAR_Tab 14_Overige tarieven'!$AA$15</f>
        <v>2.1680000000000001</v>
      </c>
      <c r="AI356" s="43"/>
    </row>
    <row r="357" spans="1:35">
      <c r="A357" s="96">
        <v>300989</v>
      </c>
      <c r="B357" s="1286" t="s">
        <v>105</v>
      </c>
      <c r="C357" s="1022"/>
      <c r="D357" s="1358"/>
      <c r="E357" s="1022"/>
      <c r="F357" s="1032">
        <v>2.0370668021422484</v>
      </c>
      <c r="G357" s="390">
        <f t="shared" si="89"/>
        <v>1.9384727689185637</v>
      </c>
      <c r="H357" s="390">
        <f t="shared" si="90"/>
        <v>1.9837768266984379</v>
      </c>
      <c r="I357" s="387"/>
      <c r="J357" s="388">
        <f t="shared" si="91"/>
        <v>1.8845879853635159</v>
      </c>
      <c r="K357" s="388">
        <f t="shared" si="92"/>
        <v>2.0829656680333599</v>
      </c>
      <c r="L357" s="1316">
        <v>1.9991140383472021</v>
      </c>
      <c r="M357" s="61" t="b">
        <f t="shared" si="93"/>
        <v>1</v>
      </c>
      <c r="N357" s="857">
        <f t="shared" si="81"/>
        <v>1.9991140383472021</v>
      </c>
      <c r="O357" s="15"/>
      <c r="P357" s="445">
        <f t="shared" si="87"/>
        <v>-9.2714628717570732E-2</v>
      </c>
      <c r="Q357" s="445">
        <f t="shared" si="75"/>
        <v>9.5934935579655753E-2</v>
      </c>
      <c r="R357" s="445">
        <f t="shared" si="88"/>
        <v>0</v>
      </c>
      <c r="S357" s="445">
        <f t="shared" si="88"/>
        <v>3.6141090531296612E-3</v>
      </c>
      <c r="T357" s="445">
        <f t="shared" si="88"/>
        <v>8.3702079625762024E-2</v>
      </c>
      <c r="U357" s="445">
        <f t="shared" si="88"/>
        <v>-1.0954140996406743E-2</v>
      </c>
      <c r="V357" s="445">
        <f t="shared" si="88"/>
        <v>-4.1210715228168584E-4</v>
      </c>
      <c r="W357" s="445">
        <f t="shared" si="88"/>
        <v>-3.4074036537361879E-2</v>
      </c>
      <c r="X357" s="445">
        <f t="shared" si="88"/>
        <v>2.6885585389427313E-3</v>
      </c>
      <c r="Y357" s="43"/>
      <c r="Z357" s="388">
        <f t="shared" si="83"/>
        <v>2.0468988077410715</v>
      </c>
      <c r="AA357" s="43"/>
      <c r="AB357" s="462">
        <f>IF('TAR_Tab 2_Volumina'!C360="storage",1,0)</f>
        <v>0</v>
      </c>
      <c r="AC357" s="389">
        <f t="shared" si="82"/>
        <v>2.0468988077410715</v>
      </c>
      <c r="AD357" s="389">
        <f t="shared" si="84"/>
        <v>2.1846369352895318</v>
      </c>
      <c r="AE357" s="43"/>
      <c r="AF357" s="1027">
        <f t="shared" si="85"/>
        <v>2.1846369352895318</v>
      </c>
      <c r="AG357" s="392">
        <f t="shared" si="86"/>
        <v>2.1850000000000001</v>
      </c>
      <c r="AH357" s="392">
        <f>AG357+'TAR_Tab 14_Overige tarieven'!$AA$14+'TAR_Tab 14_Overige tarieven'!$AA$15</f>
        <v>2.3650000000000002</v>
      </c>
      <c r="AI357" s="43"/>
    </row>
    <row r="358" spans="1:35">
      <c r="A358" s="96">
        <v>300991</v>
      </c>
      <c r="B358" s="1286" t="s">
        <v>210</v>
      </c>
      <c r="C358" s="1022"/>
      <c r="D358" s="1358"/>
      <c r="E358" s="1022"/>
      <c r="F358" s="1032">
        <v>1.7921929182610372</v>
      </c>
      <c r="G358" s="390">
        <f t="shared" si="89"/>
        <v>1.705450781017203</v>
      </c>
      <c r="H358" s="390">
        <f t="shared" si="90"/>
        <v>1.7453088806319008</v>
      </c>
      <c r="I358" s="387"/>
      <c r="J358" s="388">
        <f t="shared" si="91"/>
        <v>1.6580434366003056</v>
      </c>
      <c r="K358" s="388">
        <f t="shared" si="92"/>
        <v>1.832574324663496</v>
      </c>
      <c r="L358" s="1316">
        <v>1.7588024204971029</v>
      </c>
      <c r="M358" s="61" t="b">
        <f t="shared" si="93"/>
        <v>1</v>
      </c>
      <c r="N358" s="857">
        <f t="shared" si="81"/>
        <v>1.7588024204971029</v>
      </c>
      <c r="O358" s="15"/>
      <c r="P358" s="445">
        <f t="shared" si="87"/>
        <v>-8.1569490422253005E-2</v>
      </c>
      <c r="Q358" s="445">
        <f t="shared" si="75"/>
        <v>8.4402687226003761E-2</v>
      </c>
      <c r="R358" s="445">
        <f t="shared" si="88"/>
        <v>0</v>
      </c>
      <c r="S358" s="445">
        <f t="shared" si="88"/>
        <v>3.1796604038858518E-3</v>
      </c>
      <c r="T358" s="445">
        <f t="shared" si="88"/>
        <v>7.3640331378065901E-2</v>
      </c>
      <c r="U358" s="445">
        <f t="shared" si="88"/>
        <v>-9.6373540125181279E-3</v>
      </c>
      <c r="V358" s="445">
        <f t="shared" si="88"/>
        <v>-3.6256813920252848E-4</v>
      </c>
      <c r="W358" s="445">
        <f t="shared" si="88"/>
        <v>-2.9978028660919424E-2</v>
      </c>
      <c r="X358" s="445">
        <f t="shared" si="88"/>
        <v>2.3653694462823682E-3</v>
      </c>
      <c r="Y358" s="43"/>
      <c r="Z358" s="388">
        <f t="shared" si="83"/>
        <v>1.8008430277164478</v>
      </c>
      <c r="AA358" s="43"/>
      <c r="AB358" s="462">
        <f>IF('TAR_Tab 2_Volumina'!C361="storage",1,0)</f>
        <v>0</v>
      </c>
      <c r="AC358" s="389">
        <f t="shared" si="82"/>
        <v>1.8008430277164478</v>
      </c>
      <c r="AD358" s="389">
        <f t="shared" si="84"/>
        <v>1.9220237845317309</v>
      </c>
      <c r="AE358" s="43"/>
      <c r="AF358" s="1027">
        <f t="shared" si="85"/>
        <v>1.9220237845317309</v>
      </c>
      <c r="AG358" s="392">
        <f t="shared" si="86"/>
        <v>1.9219999999999999</v>
      </c>
      <c r="AH358" s="392">
        <f>AG358+'TAR_Tab 14_Overige tarieven'!$AA$14+'TAR_Tab 14_Overige tarieven'!$AA$15</f>
        <v>2.1019999999999999</v>
      </c>
      <c r="AI358" s="43"/>
    </row>
    <row r="359" spans="1:35">
      <c r="A359" s="96">
        <v>300997</v>
      </c>
      <c r="B359" s="1286" t="s">
        <v>106</v>
      </c>
      <c r="C359" s="1022"/>
      <c r="D359" s="1358"/>
      <c r="E359" s="1022"/>
      <c r="F359" s="1032">
        <v>1.6041013842653247</v>
      </c>
      <c r="G359" s="390">
        <f t="shared" si="89"/>
        <v>1.5264628772668829</v>
      </c>
      <c r="H359" s="390">
        <f t="shared" si="90"/>
        <v>1.5621378495952858</v>
      </c>
      <c r="I359" s="387"/>
      <c r="J359" s="388">
        <f t="shared" si="91"/>
        <v>1.4840309571155215</v>
      </c>
      <c r="K359" s="388">
        <f t="shared" si="92"/>
        <v>1.6402447420750501</v>
      </c>
      <c r="L359" s="1316">
        <v>1.5742152357716646</v>
      </c>
      <c r="M359" s="61" t="b">
        <f t="shared" si="93"/>
        <v>1</v>
      </c>
      <c r="N359" s="857">
        <f t="shared" si="81"/>
        <v>1.5742152357716646</v>
      </c>
      <c r="O359" s="15"/>
      <c r="P359" s="445">
        <f t="shared" si="87"/>
        <v>-7.300873202150171E-2</v>
      </c>
      <c r="Q359" s="445">
        <f t="shared" si="75"/>
        <v>7.5544583418126143E-2</v>
      </c>
      <c r="R359" s="445">
        <f t="shared" si="88"/>
        <v>0</v>
      </c>
      <c r="S359" s="445">
        <f t="shared" si="88"/>
        <v>2.8459534704087228E-3</v>
      </c>
      <c r="T359" s="445">
        <f t="shared" si="88"/>
        <v>6.5911742144328295E-2</v>
      </c>
      <c r="U359" s="445">
        <f t="shared" si="88"/>
        <v>-8.6259089379370178E-3</v>
      </c>
      <c r="V359" s="445">
        <f t="shared" si="88"/>
        <v>-3.2451643350404533E-4</v>
      </c>
      <c r="W359" s="445">
        <f t="shared" si="88"/>
        <v>-2.6831819712347684E-2</v>
      </c>
      <c r="X359" s="445">
        <f t="shared" si="88"/>
        <v>2.1171227519200604E-3</v>
      </c>
      <c r="Y359" s="43"/>
      <c r="Z359" s="388">
        <f t="shared" si="83"/>
        <v>1.6118436604511572</v>
      </c>
      <c r="AA359" s="43"/>
      <c r="AB359" s="462">
        <f>IF('TAR_Tab 2_Volumina'!C362="storage",1,0)</f>
        <v>0</v>
      </c>
      <c r="AC359" s="389">
        <f t="shared" si="82"/>
        <v>1.6118436604511572</v>
      </c>
      <c r="AD359" s="389">
        <f t="shared" si="84"/>
        <v>1.7203064368482028</v>
      </c>
      <c r="AE359" s="43"/>
      <c r="AF359" s="1027">
        <f t="shared" si="85"/>
        <v>1.7203064368482028</v>
      </c>
      <c r="AG359" s="392">
        <f t="shared" si="86"/>
        <v>1.72</v>
      </c>
      <c r="AH359" s="392">
        <f>AG359+'TAR_Tab 14_Overige tarieven'!$AA$14+'TAR_Tab 14_Overige tarieven'!$AA$15</f>
        <v>1.9</v>
      </c>
      <c r="AI359" s="43"/>
    </row>
    <row r="360" spans="1:35">
      <c r="A360" s="96">
        <v>300998</v>
      </c>
      <c r="B360" s="1286" t="s">
        <v>816</v>
      </c>
      <c r="C360" s="1022"/>
      <c r="D360" s="1358"/>
      <c r="E360" s="1022"/>
      <c r="F360" s="1032">
        <v>1.4701327046745603</v>
      </c>
      <c r="G360" s="390">
        <f t="shared" si="89"/>
        <v>1.3989782817683116</v>
      </c>
      <c r="H360" s="390">
        <f t="shared" si="90"/>
        <v>1.4316738109117926</v>
      </c>
      <c r="I360" s="387"/>
      <c r="J360" s="388">
        <f t="shared" si="91"/>
        <v>1.3600901203662028</v>
      </c>
      <c r="K360" s="388">
        <f t="shared" si="92"/>
        <v>1.5032575014573824</v>
      </c>
      <c r="L360" s="1316">
        <v>1.4427425379754568</v>
      </c>
      <c r="M360" s="61" t="b">
        <f t="shared" si="93"/>
        <v>1</v>
      </c>
      <c r="N360" s="857">
        <f t="shared" si="81"/>
        <v>1.4427425379754568</v>
      </c>
      <c r="O360" s="15"/>
      <c r="P360" s="445">
        <f t="shared" si="87"/>
        <v>-6.6911309799030302E-2</v>
      </c>
      <c r="Q360" s="445">
        <f t="shared" si="75"/>
        <v>6.92353761635012E-2</v>
      </c>
      <c r="R360" s="445">
        <f t="shared" si="88"/>
        <v>0</v>
      </c>
      <c r="S360" s="445">
        <f t="shared" si="88"/>
        <v>2.6082698474486753E-3</v>
      </c>
      <c r="T360" s="445">
        <f t="shared" si="88"/>
        <v>6.0407034554635163E-2</v>
      </c>
      <c r="U360" s="445">
        <f t="shared" si="88"/>
        <v>-7.9055045781995844E-3</v>
      </c>
      <c r="V360" s="445">
        <f t="shared" si="88"/>
        <v>-2.9741400810345104E-4</v>
      </c>
      <c r="W360" s="445">
        <f t="shared" si="88"/>
        <v>-2.4590924284452403E-2</v>
      </c>
      <c r="X360" s="445">
        <f t="shared" si="88"/>
        <v>1.9403084044053633E-3</v>
      </c>
      <c r="Y360" s="43"/>
      <c r="Z360" s="388">
        <f t="shared" si="83"/>
        <v>1.4772283742756616</v>
      </c>
      <c r="AA360" s="43"/>
      <c r="AB360" s="462">
        <f>IF('TAR_Tab 2_Volumina'!C363="storage",1,0)</f>
        <v>0</v>
      </c>
      <c r="AC360" s="389">
        <f t="shared" si="82"/>
        <v>1.4772283742756616</v>
      </c>
      <c r="AD360" s="389">
        <f t="shared" si="84"/>
        <v>1.5766327363597519</v>
      </c>
      <c r="AE360" s="43"/>
      <c r="AF360" s="1027">
        <f t="shared" si="85"/>
        <v>1.5766327363597519</v>
      </c>
      <c r="AG360" s="392">
        <f t="shared" si="86"/>
        <v>1.577</v>
      </c>
      <c r="AH360" s="392">
        <f>AG360+'TAR_Tab 14_Overige tarieven'!$AA$14+'TAR_Tab 14_Overige tarieven'!$AA$15</f>
        <v>1.7569999999999999</v>
      </c>
      <c r="AI360" s="43"/>
    </row>
    <row r="361" spans="1:35">
      <c r="A361" s="96">
        <v>301001</v>
      </c>
      <c r="B361" s="1286" t="s">
        <v>817</v>
      </c>
      <c r="C361" s="1022"/>
      <c r="D361" s="1358"/>
      <c r="E361" s="1022"/>
      <c r="F361" s="1032">
        <v>2.0198257113636027</v>
      </c>
      <c r="G361" s="390">
        <f t="shared" si="89"/>
        <v>1.9220661469336042</v>
      </c>
      <c r="H361" s="390">
        <f t="shared" si="90"/>
        <v>1.966986765460528</v>
      </c>
      <c r="I361" s="387"/>
      <c r="J361" s="388">
        <f t="shared" si="91"/>
        <v>1.8686374271875015</v>
      </c>
      <c r="K361" s="388">
        <f t="shared" si="92"/>
        <v>2.0653361037335545</v>
      </c>
      <c r="L361" s="1316">
        <v>1.9821941677883363</v>
      </c>
      <c r="M361" s="61" t="b">
        <f t="shared" si="93"/>
        <v>1</v>
      </c>
      <c r="N361" s="857">
        <f t="shared" si="81"/>
        <v>1.9821941677883363</v>
      </c>
      <c r="O361" s="15"/>
      <c r="P361" s="445">
        <f t="shared" si="87"/>
        <v>-9.1929921348844756E-2</v>
      </c>
      <c r="Q361" s="445">
        <f t="shared" si="75"/>
        <v>9.512297254956123E-2</v>
      </c>
      <c r="R361" s="445">
        <f t="shared" si="88"/>
        <v>0</v>
      </c>
      <c r="S361" s="445">
        <f t="shared" si="88"/>
        <v>3.5835203742491228E-3</v>
      </c>
      <c r="T361" s="445">
        <f t="shared" si="88"/>
        <v>8.2993651629354848E-2</v>
      </c>
      <c r="U361" s="445">
        <f t="shared" si="88"/>
        <v>-1.0861428602722588E-2</v>
      </c>
      <c r="V361" s="445">
        <f t="shared" si="88"/>
        <v>-4.0861920735246418E-4</v>
      </c>
      <c r="W361" s="445">
        <f t="shared" si="88"/>
        <v>-3.3785644641466397E-2</v>
      </c>
      <c r="X361" s="445">
        <f t="shared" si="88"/>
        <v>2.6658034276302953E-3</v>
      </c>
      <c r="Y361" s="43"/>
      <c r="Z361" s="388">
        <f t="shared" si="83"/>
        <v>2.0295745019687454</v>
      </c>
      <c r="AA361" s="43"/>
      <c r="AB361" s="462">
        <f>IF('TAR_Tab 2_Volumina'!C364="storage",1,0)</f>
        <v>0</v>
      </c>
      <c r="AC361" s="389">
        <f t="shared" si="82"/>
        <v>2.0295745019687454</v>
      </c>
      <c r="AD361" s="389">
        <f t="shared" si="84"/>
        <v>2.1661468574579654</v>
      </c>
      <c r="AE361" s="43"/>
      <c r="AF361" s="1027">
        <f t="shared" si="85"/>
        <v>2.1661468574579654</v>
      </c>
      <c r="AG361" s="392">
        <f t="shared" si="86"/>
        <v>2.1659999999999999</v>
      </c>
      <c r="AH361" s="392">
        <f>AG361+'TAR_Tab 14_Overige tarieven'!$AA$14+'TAR_Tab 14_Overige tarieven'!$AA$15</f>
        <v>2.3460000000000001</v>
      </c>
      <c r="AI361" s="43"/>
    </row>
    <row r="362" spans="1:35">
      <c r="A362" s="96">
        <v>301002</v>
      </c>
      <c r="B362" s="1286" t="s">
        <v>310</v>
      </c>
      <c r="C362" s="1022"/>
      <c r="D362" s="1358"/>
      <c r="E362" s="1022"/>
      <c r="F362" s="1032">
        <v>2.3644525382008235</v>
      </c>
      <c r="G362" s="390">
        <f t="shared" si="89"/>
        <v>2.2500130353519037</v>
      </c>
      <c r="H362" s="390">
        <f t="shared" si="90"/>
        <v>2.302598102417829</v>
      </c>
      <c r="I362" s="387"/>
      <c r="J362" s="388">
        <f t="shared" si="91"/>
        <v>2.1874681972969374</v>
      </c>
      <c r="K362" s="388">
        <f t="shared" si="92"/>
        <v>2.4177280075387206</v>
      </c>
      <c r="L362" s="1316">
        <v>2.3204002230815735</v>
      </c>
      <c r="M362" s="61" t="b">
        <f t="shared" si="93"/>
        <v>1</v>
      </c>
      <c r="N362" s="857">
        <f t="shared" si="81"/>
        <v>2.3204002230815735</v>
      </c>
      <c r="O362" s="15"/>
      <c r="P362" s="445">
        <f t="shared" si="87"/>
        <v>-0.1076151940471803</v>
      </c>
      <c r="Q362" s="445">
        <f t="shared" si="75"/>
        <v>0.11135305022638613</v>
      </c>
      <c r="R362" s="445">
        <f t="shared" si="88"/>
        <v>0</v>
      </c>
      <c r="S362" s="445">
        <f t="shared" si="88"/>
        <v>4.1949480080969272E-3</v>
      </c>
      <c r="T362" s="445">
        <f t="shared" si="88"/>
        <v>9.715419956561662E-2</v>
      </c>
      <c r="U362" s="445">
        <f t="shared" si="88"/>
        <v>-1.2714627942257825E-2</v>
      </c>
      <c r="V362" s="445">
        <f t="shared" si="88"/>
        <v>-4.7833865889838526E-4</v>
      </c>
      <c r="W362" s="445">
        <f t="shared" si="88"/>
        <v>-3.9550220980866461E-2</v>
      </c>
      <c r="X362" s="445">
        <f t="shared" si="88"/>
        <v>3.1206483041299553E-3</v>
      </c>
      <c r="Y362" s="43"/>
      <c r="Z362" s="388">
        <f t="shared" si="83"/>
        <v>2.3758646875566001</v>
      </c>
      <c r="AA362" s="43"/>
      <c r="AB362" s="462">
        <f>IF('TAR_Tab 2_Volumina'!C365="storage",1,0)</f>
        <v>0</v>
      </c>
      <c r="AC362" s="389">
        <f t="shared" si="82"/>
        <v>2.3758646875566001</v>
      </c>
      <c r="AD362" s="389">
        <f t="shared" si="84"/>
        <v>2.5357392998896344</v>
      </c>
      <c r="AE362" s="43"/>
      <c r="AF362" s="1027">
        <f t="shared" si="85"/>
        <v>2.5357392998896344</v>
      </c>
      <c r="AG362" s="392">
        <f t="shared" si="86"/>
        <v>2.536</v>
      </c>
      <c r="AH362" s="392">
        <f>AG362+'TAR_Tab 14_Overige tarieven'!$AA$14+'TAR_Tab 14_Overige tarieven'!$AA$15</f>
        <v>2.7160000000000002</v>
      </c>
      <c r="AI362" s="43"/>
    </row>
    <row r="363" spans="1:35">
      <c r="A363" s="96">
        <v>301006</v>
      </c>
      <c r="B363" s="1286" t="s">
        <v>211</v>
      </c>
      <c r="C363" s="1022"/>
      <c r="D363" s="1358"/>
      <c r="E363" s="1022"/>
      <c r="F363" s="1032">
        <v>2.523265673036827</v>
      </c>
      <c r="G363" s="390">
        <f t="shared" si="89"/>
        <v>2.4011396144618447</v>
      </c>
      <c r="H363" s="390">
        <f t="shared" si="90"/>
        <v>2.4572566616421421</v>
      </c>
      <c r="I363" s="387"/>
      <c r="J363" s="388">
        <f t="shared" si="91"/>
        <v>2.3343938285600347</v>
      </c>
      <c r="K363" s="388">
        <f t="shared" si="92"/>
        <v>2.5801194947242494</v>
      </c>
      <c r="L363" s="1316">
        <v>2.4762544969771096</v>
      </c>
      <c r="M363" s="61" t="b">
        <f t="shared" si="93"/>
        <v>1</v>
      </c>
      <c r="N363" s="857">
        <f t="shared" si="81"/>
        <v>2.4762544969771096</v>
      </c>
      <c r="O363" s="15"/>
      <c r="P363" s="445">
        <f t="shared" si="87"/>
        <v>-0.11484338156479583</v>
      </c>
      <c r="Q363" s="445">
        <f t="shared" si="75"/>
        <v>0.11883229825284887</v>
      </c>
      <c r="R363" s="445">
        <f t="shared" si="88"/>
        <v>0</v>
      </c>
      <c r="S363" s="445">
        <f t="shared" si="88"/>
        <v>4.476709994381863E-3</v>
      </c>
      <c r="T363" s="445">
        <f t="shared" si="88"/>
        <v>0.1036797536827819</v>
      </c>
      <c r="U363" s="445">
        <f t="shared" si="88"/>
        <v>-1.3568631094852257E-2</v>
      </c>
      <c r="V363" s="445">
        <f t="shared" si="88"/>
        <v>-5.1046722172870844E-4</v>
      </c>
      <c r="W363" s="445">
        <f t="shared" si="88"/>
        <v>-4.2206689857254877E-2</v>
      </c>
      <c r="X363" s="445">
        <f t="shared" si="88"/>
        <v>3.3302528243698299E-3</v>
      </c>
      <c r="Y363" s="43"/>
      <c r="Z363" s="388">
        <f t="shared" si="83"/>
        <v>2.5354443419928603</v>
      </c>
      <c r="AA363" s="43"/>
      <c r="AB363" s="462">
        <f>IF('TAR_Tab 2_Volumina'!C366="storage",1,0)</f>
        <v>0</v>
      </c>
      <c r="AC363" s="389">
        <f t="shared" si="82"/>
        <v>2.5354443419928603</v>
      </c>
      <c r="AD363" s="389">
        <f t="shared" si="84"/>
        <v>2.7060572491129919</v>
      </c>
      <c r="AE363" s="43"/>
      <c r="AF363" s="1027">
        <f t="shared" si="85"/>
        <v>2.7060572491129919</v>
      </c>
      <c r="AG363" s="392">
        <f t="shared" si="86"/>
        <v>2.706</v>
      </c>
      <c r="AH363" s="392">
        <f>AG363+'TAR_Tab 14_Overige tarieven'!$AA$14+'TAR_Tab 14_Overige tarieven'!$AA$15</f>
        <v>2.8860000000000001</v>
      </c>
      <c r="AI363" s="43"/>
    </row>
    <row r="364" spans="1:35">
      <c r="A364" s="96">
        <v>301009</v>
      </c>
      <c r="B364" s="1286" t="s">
        <v>107</v>
      </c>
      <c r="C364" s="1022"/>
      <c r="D364" s="1358"/>
      <c r="E364" s="1022"/>
      <c r="F364" s="1032">
        <v>1.8933364789945806</v>
      </c>
      <c r="G364" s="390">
        <f t="shared" si="89"/>
        <v>1.8016989934112428</v>
      </c>
      <c r="H364" s="390">
        <f t="shared" si="90"/>
        <v>1.8438065105289483</v>
      </c>
      <c r="I364" s="387"/>
      <c r="J364" s="388">
        <f t="shared" si="91"/>
        <v>1.7516161850025007</v>
      </c>
      <c r="K364" s="388">
        <f t="shared" si="92"/>
        <v>1.9359968360553959</v>
      </c>
      <c r="L364" s="1316">
        <v>1.8580615670004044</v>
      </c>
      <c r="M364" s="61" t="b">
        <f t="shared" si="93"/>
        <v>1</v>
      </c>
      <c r="N364" s="857">
        <f t="shared" si="81"/>
        <v>1.8580615670004044</v>
      </c>
      <c r="O364" s="15"/>
      <c r="P364" s="445">
        <f t="shared" si="87"/>
        <v>-8.6172917109449437E-2</v>
      </c>
      <c r="Q364" s="445">
        <f t="shared" si="75"/>
        <v>8.9166007198164351E-2</v>
      </c>
      <c r="R364" s="445">
        <f t="shared" si="88"/>
        <v>0</v>
      </c>
      <c r="S364" s="445">
        <f t="shared" si="88"/>
        <v>3.3591065850952506E-3</v>
      </c>
      <c r="T364" s="445">
        <f t="shared" si="88"/>
        <v>7.7796270871679507E-2</v>
      </c>
      <c r="U364" s="445">
        <f t="shared" si="88"/>
        <v>-1.0181244288472118E-2</v>
      </c>
      <c r="V364" s="445">
        <f t="shared" si="88"/>
        <v>-3.8302990547435425E-4</v>
      </c>
      <c r="W364" s="445">
        <f t="shared" si="88"/>
        <v>-3.1669858001189127E-2</v>
      </c>
      <c r="X364" s="445">
        <f t="shared" si="88"/>
        <v>2.4988605932507787E-3</v>
      </c>
      <c r="Y364" s="43"/>
      <c r="Z364" s="388">
        <f t="shared" si="83"/>
        <v>1.9024747629440093</v>
      </c>
      <c r="AA364" s="43"/>
      <c r="AB364" s="462">
        <f>IF('TAR_Tab 2_Volumina'!C367="storage",1,0)</f>
        <v>0</v>
      </c>
      <c r="AC364" s="389">
        <f t="shared" si="82"/>
        <v>1.9024747629440093</v>
      </c>
      <c r="AD364" s="389">
        <f t="shared" si="84"/>
        <v>2.0304944337577786</v>
      </c>
      <c r="AE364" s="43"/>
      <c r="AF364" s="1027">
        <f t="shared" si="85"/>
        <v>2.0304944337577786</v>
      </c>
      <c r="AG364" s="392">
        <f t="shared" si="86"/>
        <v>2.0299999999999998</v>
      </c>
      <c r="AH364" s="392">
        <f>AG364+'TAR_Tab 14_Overige tarieven'!$AA$14+'TAR_Tab 14_Overige tarieven'!$AA$15</f>
        <v>2.21</v>
      </c>
      <c r="AI364" s="43"/>
    </row>
    <row r="365" spans="1:35">
      <c r="A365" s="96">
        <v>301013</v>
      </c>
      <c r="B365" s="1286" t="s">
        <v>212</v>
      </c>
      <c r="C365" s="1022"/>
      <c r="D365" s="1358"/>
      <c r="E365" s="1022"/>
      <c r="F365" s="1032">
        <v>1.9013214969472292</v>
      </c>
      <c r="G365" s="390">
        <f t="shared" si="89"/>
        <v>1.8092975364949833</v>
      </c>
      <c r="H365" s="390">
        <f t="shared" si="90"/>
        <v>1.8515826392050314</v>
      </c>
      <c r="I365" s="387"/>
      <c r="J365" s="388">
        <f t="shared" si="91"/>
        <v>1.7590035072447798</v>
      </c>
      <c r="K365" s="388">
        <f t="shared" si="92"/>
        <v>1.944161771165283</v>
      </c>
      <c r="L365" s="1316">
        <v>1.8658978154085601</v>
      </c>
      <c r="M365" s="61" t="b">
        <f t="shared" si="93"/>
        <v>1</v>
      </c>
      <c r="N365" s="857">
        <f t="shared" si="81"/>
        <v>1.8658978154085601</v>
      </c>
      <c r="O365" s="15"/>
      <c r="P365" s="445">
        <f t="shared" si="87"/>
        <v>-8.653634553212286E-2</v>
      </c>
      <c r="Q365" s="445">
        <f t="shared" si="75"/>
        <v>8.9542058774913891E-2</v>
      </c>
      <c r="R365" s="445">
        <f t="shared" si="88"/>
        <v>0</v>
      </c>
      <c r="S365" s="445">
        <f t="shared" si="88"/>
        <v>3.3732733888749405E-3</v>
      </c>
      <c r="T365" s="445">
        <f t="shared" si="88"/>
        <v>7.8124371358017433E-2</v>
      </c>
      <c r="U365" s="445">
        <f t="shared" si="88"/>
        <v>-1.0224182994468489E-2</v>
      </c>
      <c r="V365" s="445">
        <f t="shared" si="88"/>
        <v>-3.8464530807476164E-4</v>
      </c>
      <c r="W365" s="445">
        <f t="shared" si="88"/>
        <v>-3.180342347542095E-2</v>
      </c>
      <c r="X365" s="445">
        <f t="shared" si="88"/>
        <v>2.5093993680114432E-3</v>
      </c>
      <c r="Y365" s="43"/>
      <c r="Z365" s="388">
        <f t="shared" si="83"/>
        <v>1.9104983209882909</v>
      </c>
      <c r="AA365" s="43"/>
      <c r="AB365" s="462">
        <f>IF('TAR_Tab 2_Volumina'!C368="storage",1,0)</f>
        <v>0</v>
      </c>
      <c r="AC365" s="389">
        <f t="shared" si="82"/>
        <v>1.9104983209882909</v>
      </c>
      <c r="AD365" s="389">
        <f t="shared" si="84"/>
        <v>2.0390579060650986</v>
      </c>
      <c r="AE365" s="43"/>
      <c r="AF365" s="1027">
        <f t="shared" si="85"/>
        <v>2.0390579060650986</v>
      </c>
      <c r="AG365" s="392">
        <f t="shared" si="86"/>
        <v>2.0390000000000001</v>
      </c>
      <c r="AH365" s="392">
        <f>AG365+'TAR_Tab 14_Overige tarieven'!$AA$14+'TAR_Tab 14_Overige tarieven'!$AA$15</f>
        <v>2.2190000000000003</v>
      </c>
      <c r="AI365" s="43"/>
    </row>
    <row r="366" spans="1:35">
      <c r="A366" s="96">
        <v>301014</v>
      </c>
      <c r="B366" s="1286" t="s">
        <v>213</v>
      </c>
      <c r="C366" s="1022"/>
      <c r="D366" s="1358"/>
      <c r="E366" s="1022"/>
      <c r="F366" s="1032">
        <v>2.523265673036827</v>
      </c>
      <c r="G366" s="390">
        <f t="shared" si="89"/>
        <v>2.4011396144618447</v>
      </c>
      <c r="H366" s="390">
        <f t="shared" si="90"/>
        <v>2.4572566616421421</v>
      </c>
      <c r="I366" s="387"/>
      <c r="J366" s="388">
        <f t="shared" si="91"/>
        <v>2.3343938285600347</v>
      </c>
      <c r="K366" s="388">
        <f t="shared" si="92"/>
        <v>2.5801194947242494</v>
      </c>
      <c r="L366" s="1316">
        <v>2.4762544969771096</v>
      </c>
      <c r="M366" s="61" t="b">
        <f t="shared" si="93"/>
        <v>1</v>
      </c>
      <c r="N366" s="857">
        <f t="shared" si="81"/>
        <v>2.4762544969771096</v>
      </c>
      <c r="O366" s="15"/>
      <c r="P366" s="445">
        <f t="shared" si="87"/>
        <v>-0.11484338156479583</v>
      </c>
      <c r="Q366" s="445">
        <f t="shared" si="75"/>
        <v>0.11883229825284887</v>
      </c>
      <c r="R366" s="445">
        <f t="shared" si="88"/>
        <v>0</v>
      </c>
      <c r="S366" s="445">
        <f t="shared" si="88"/>
        <v>4.476709994381863E-3</v>
      </c>
      <c r="T366" s="445">
        <f t="shared" si="88"/>
        <v>0.1036797536827819</v>
      </c>
      <c r="U366" s="445">
        <f t="shared" si="88"/>
        <v>-1.3568631094852257E-2</v>
      </c>
      <c r="V366" s="445">
        <f t="shared" si="88"/>
        <v>-5.1046722172870844E-4</v>
      </c>
      <c r="W366" s="445">
        <f t="shared" si="88"/>
        <v>-4.2206689857254877E-2</v>
      </c>
      <c r="X366" s="445">
        <f t="shared" si="88"/>
        <v>3.3302528243698299E-3</v>
      </c>
      <c r="Y366" s="43"/>
      <c r="Z366" s="388">
        <f t="shared" si="83"/>
        <v>2.5354443419928603</v>
      </c>
      <c r="AA366" s="43"/>
      <c r="AB366" s="462">
        <f>IF('TAR_Tab 2_Volumina'!C369="storage",1,0)</f>
        <v>0</v>
      </c>
      <c r="AC366" s="389">
        <f t="shared" si="82"/>
        <v>2.5354443419928603</v>
      </c>
      <c r="AD366" s="389">
        <f t="shared" si="84"/>
        <v>2.7060572491129919</v>
      </c>
      <c r="AE366" s="43"/>
      <c r="AF366" s="1027">
        <f t="shared" si="85"/>
        <v>2.7060572491129919</v>
      </c>
      <c r="AG366" s="392">
        <f t="shared" si="86"/>
        <v>2.706</v>
      </c>
      <c r="AH366" s="392">
        <f>AG366+'TAR_Tab 14_Overige tarieven'!$AA$14+'TAR_Tab 14_Overige tarieven'!$AA$15</f>
        <v>2.8860000000000001</v>
      </c>
      <c r="AI366" s="43"/>
    </row>
    <row r="367" spans="1:35">
      <c r="A367" s="96">
        <v>301015</v>
      </c>
      <c r="B367" s="1286" t="s">
        <v>214</v>
      </c>
      <c r="C367" s="1022"/>
      <c r="D367" s="1358"/>
      <c r="E367" s="1022"/>
      <c r="F367" s="1032">
        <v>1.6041013842653247</v>
      </c>
      <c r="G367" s="390">
        <f t="shared" si="89"/>
        <v>1.5264628772668829</v>
      </c>
      <c r="H367" s="390">
        <f t="shared" si="90"/>
        <v>1.5621378495952858</v>
      </c>
      <c r="I367" s="387"/>
      <c r="J367" s="388">
        <f t="shared" si="91"/>
        <v>1.4840309571155215</v>
      </c>
      <c r="K367" s="388">
        <f t="shared" si="92"/>
        <v>1.6402447420750501</v>
      </c>
      <c r="L367" s="1316">
        <v>1.6402447420750501</v>
      </c>
      <c r="M367" s="61" t="b">
        <f t="shared" si="93"/>
        <v>1</v>
      </c>
      <c r="N367" s="857">
        <f t="shared" si="81"/>
        <v>1.6402447420750501</v>
      </c>
      <c r="O367" s="15"/>
      <c r="P367" s="445">
        <f t="shared" si="87"/>
        <v>-7.607103914550363E-2</v>
      </c>
      <c r="Q367" s="445">
        <f t="shared" si="75"/>
        <v>7.8713255295798992E-2</v>
      </c>
      <c r="R367" s="445">
        <f t="shared" si="88"/>
        <v>0</v>
      </c>
      <c r="S367" s="445">
        <f t="shared" si="88"/>
        <v>2.9653252680786773E-3</v>
      </c>
      <c r="T367" s="445">
        <f t="shared" si="88"/>
        <v>6.8676370318729543E-2</v>
      </c>
      <c r="U367" s="445">
        <f t="shared" si="88"/>
        <v>-8.9877174731661583E-3</v>
      </c>
      <c r="V367" s="445">
        <f t="shared" si="88"/>
        <v>-3.3812807910668993E-4</v>
      </c>
      <c r="W367" s="445">
        <f t="shared" si="88"/>
        <v>-2.7957264167825402E-2</v>
      </c>
      <c r="X367" s="445">
        <f t="shared" si="88"/>
        <v>2.2059241857496736E-3</v>
      </c>
      <c r="Y367" s="43"/>
      <c r="Z367" s="388">
        <f t="shared" si="83"/>
        <v>1.6794514682778052</v>
      </c>
      <c r="AA367" s="43"/>
      <c r="AB367" s="462">
        <f>IF('TAR_Tab 2_Volumina'!C370="storage",1,0)</f>
        <v>0</v>
      </c>
      <c r="AC367" s="389">
        <f t="shared" si="82"/>
        <v>1.6794514682778052</v>
      </c>
      <c r="AD367" s="389">
        <f t="shared" si="84"/>
        <v>1.7924636502548832</v>
      </c>
      <c r="AE367" s="43"/>
      <c r="AF367" s="1027">
        <f t="shared" si="85"/>
        <v>1.7924636502548832</v>
      </c>
      <c r="AG367" s="392">
        <f t="shared" si="86"/>
        <v>1.792</v>
      </c>
      <c r="AH367" s="392">
        <f>AG367+'TAR_Tab 14_Overige tarieven'!$AA$14+'TAR_Tab 14_Overige tarieven'!$AA$15</f>
        <v>1.972</v>
      </c>
      <c r="AI367" s="43"/>
    </row>
    <row r="368" spans="1:35">
      <c r="A368" s="96">
        <v>301016</v>
      </c>
      <c r="B368" s="1286" t="s">
        <v>311</v>
      </c>
      <c r="C368" s="1022"/>
      <c r="D368" s="1358"/>
      <c r="E368" s="1022"/>
      <c r="F368" s="1032">
        <v>1.8862386852588935</v>
      </c>
      <c r="G368" s="390">
        <f t="shared" si="89"/>
        <v>1.7949447328923631</v>
      </c>
      <c r="H368" s="390">
        <f t="shared" si="90"/>
        <v>1.8368943961502084</v>
      </c>
      <c r="I368" s="387"/>
      <c r="J368" s="388">
        <f t="shared" si="91"/>
        <v>1.7450496763426979</v>
      </c>
      <c r="K368" s="388">
        <f t="shared" si="92"/>
        <v>1.928739115957719</v>
      </c>
      <c r="L368" s="1316">
        <v>1.8510960128598219</v>
      </c>
      <c r="M368" s="61" t="b">
        <f t="shared" si="93"/>
        <v>1</v>
      </c>
      <c r="N368" s="857">
        <f t="shared" si="81"/>
        <v>1.8510960128598219</v>
      </c>
      <c r="O368" s="15"/>
      <c r="P368" s="445">
        <f t="shared" si="87"/>
        <v>-8.5849869622628638E-2</v>
      </c>
      <c r="Q368" s="445">
        <f t="shared" si="75"/>
        <v>8.8831739129942563E-2</v>
      </c>
      <c r="R368" s="445">
        <f t="shared" si="88"/>
        <v>0</v>
      </c>
      <c r="S368" s="445">
        <f t="shared" si="88"/>
        <v>3.3465138706244156E-3</v>
      </c>
      <c r="T368" s="445">
        <f t="shared" si="88"/>
        <v>7.7504625994934698E-2</v>
      </c>
      <c r="U368" s="445">
        <f t="shared" si="88"/>
        <v>-1.0143076549808682E-2</v>
      </c>
      <c r="V368" s="445">
        <f t="shared" si="88"/>
        <v>-3.8159399205177E-4</v>
      </c>
      <c r="W368" s="445">
        <f t="shared" si="88"/>
        <v>-3.1551133135205293E-2</v>
      </c>
      <c r="X368" s="445">
        <f t="shared" si="88"/>
        <v>2.4894927934635217E-3</v>
      </c>
      <c r="Y368" s="43"/>
      <c r="Z368" s="388">
        <f t="shared" si="83"/>
        <v>1.8953427113490928</v>
      </c>
      <c r="AA368" s="43"/>
      <c r="AB368" s="462">
        <f>IF('TAR_Tab 2_Volumina'!C371="storage",1,0)</f>
        <v>0</v>
      </c>
      <c r="AC368" s="389">
        <f t="shared" si="82"/>
        <v>1.8953427113490928</v>
      </c>
      <c r="AD368" s="389">
        <f t="shared" si="84"/>
        <v>2.0228824583734948</v>
      </c>
      <c r="AE368" s="43"/>
      <c r="AF368" s="1027">
        <f t="shared" si="85"/>
        <v>2.0228824583734948</v>
      </c>
      <c r="AG368" s="392">
        <f t="shared" si="86"/>
        <v>2.0230000000000001</v>
      </c>
      <c r="AH368" s="392">
        <f>AG368+'TAR_Tab 14_Overige tarieven'!$AA$14+'TAR_Tab 14_Overige tarieven'!$AA$15</f>
        <v>2.2030000000000003</v>
      </c>
      <c r="AI368" s="43"/>
    </row>
    <row r="369" spans="1:35">
      <c r="A369" s="96">
        <v>301017</v>
      </c>
      <c r="B369" s="1286" t="s">
        <v>312</v>
      </c>
      <c r="C369" s="1022"/>
      <c r="D369" s="1358"/>
      <c r="E369" s="1022"/>
      <c r="F369" s="1032">
        <v>1.8862386852588935</v>
      </c>
      <c r="G369" s="390">
        <f t="shared" si="89"/>
        <v>1.7949447328923631</v>
      </c>
      <c r="H369" s="390">
        <f t="shared" si="90"/>
        <v>1.8368943961502084</v>
      </c>
      <c r="I369" s="387"/>
      <c r="J369" s="388">
        <f t="shared" si="91"/>
        <v>1.7450496763426979</v>
      </c>
      <c r="K369" s="388">
        <f t="shared" si="92"/>
        <v>1.928739115957719</v>
      </c>
      <c r="L369" s="1316">
        <v>1.8510960128598219</v>
      </c>
      <c r="M369" s="61" t="b">
        <f t="shared" si="93"/>
        <v>1</v>
      </c>
      <c r="N369" s="857">
        <f t="shared" si="81"/>
        <v>1.8510960128598219</v>
      </c>
      <c r="O369" s="15"/>
      <c r="P369" s="445">
        <f t="shared" si="87"/>
        <v>-8.5849869622628638E-2</v>
      </c>
      <c r="Q369" s="445">
        <f t="shared" si="75"/>
        <v>8.8831739129942563E-2</v>
      </c>
      <c r="R369" s="445">
        <f t="shared" si="88"/>
        <v>0</v>
      </c>
      <c r="S369" s="445">
        <f t="shared" si="88"/>
        <v>3.3465138706244156E-3</v>
      </c>
      <c r="T369" s="445">
        <f t="shared" si="88"/>
        <v>7.7504625994934698E-2</v>
      </c>
      <c r="U369" s="445">
        <f t="shared" si="88"/>
        <v>-1.0143076549808682E-2</v>
      </c>
      <c r="V369" s="445">
        <f t="shared" si="88"/>
        <v>-3.8159399205177E-4</v>
      </c>
      <c r="W369" s="445">
        <f t="shared" si="88"/>
        <v>-3.1551133135205293E-2</v>
      </c>
      <c r="X369" s="445">
        <f t="shared" si="88"/>
        <v>2.4894927934635217E-3</v>
      </c>
      <c r="Y369" s="43"/>
      <c r="Z369" s="388">
        <f t="shared" si="83"/>
        <v>1.8953427113490928</v>
      </c>
      <c r="AA369" s="43"/>
      <c r="AB369" s="462">
        <f>IF('TAR_Tab 2_Volumina'!C372="storage",1,0)</f>
        <v>0</v>
      </c>
      <c r="AC369" s="389">
        <f t="shared" si="82"/>
        <v>1.8953427113490928</v>
      </c>
      <c r="AD369" s="389">
        <f t="shared" si="84"/>
        <v>2.0228824583734948</v>
      </c>
      <c r="AE369" s="43"/>
      <c r="AF369" s="1027">
        <f t="shared" si="85"/>
        <v>2.0228824583734948</v>
      </c>
      <c r="AG369" s="392">
        <f t="shared" si="86"/>
        <v>2.0230000000000001</v>
      </c>
      <c r="AH369" s="392">
        <f>AG369+'TAR_Tab 14_Overige tarieven'!$AA$14+'TAR_Tab 14_Overige tarieven'!$AA$15</f>
        <v>2.2030000000000003</v>
      </c>
      <c r="AI369" s="43"/>
    </row>
    <row r="370" spans="1:35">
      <c r="A370" s="96">
        <v>301021</v>
      </c>
      <c r="B370" s="1286" t="s">
        <v>215</v>
      </c>
      <c r="C370" s="1022"/>
      <c r="D370" s="1358"/>
      <c r="E370" s="1022"/>
      <c r="F370" s="1032">
        <v>1.8862386852588935</v>
      </c>
      <c r="G370" s="390">
        <f t="shared" si="89"/>
        <v>1.7949447328923631</v>
      </c>
      <c r="H370" s="390">
        <f t="shared" si="90"/>
        <v>1.8368943961502084</v>
      </c>
      <c r="I370" s="387"/>
      <c r="J370" s="388">
        <f t="shared" si="91"/>
        <v>1.7450496763426979</v>
      </c>
      <c r="K370" s="388">
        <f t="shared" si="92"/>
        <v>1.928739115957719</v>
      </c>
      <c r="L370" s="1316">
        <v>1.8510960128598219</v>
      </c>
      <c r="M370" s="61" t="b">
        <f t="shared" si="93"/>
        <v>1</v>
      </c>
      <c r="N370" s="857">
        <f t="shared" si="81"/>
        <v>1.8510960128598219</v>
      </c>
      <c r="O370" s="15"/>
      <c r="P370" s="445">
        <f t="shared" si="87"/>
        <v>-8.5849869622628638E-2</v>
      </c>
      <c r="Q370" s="445">
        <f t="shared" si="75"/>
        <v>8.8831739129942563E-2</v>
      </c>
      <c r="R370" s="445">
        <f t="shared" si="88"/>
        <v>0</v>
      </c>
      <c r="S370" s="445">
        <f t="shared" si="88"/>
        <v>3.3465138706244156E-3</v>
      </c>
      <c r="T370" s="445">
        <f t="shared" si="88"/>
        <v>7.7504625994934698E-2</v>
      </c>
      <c r="U370" s="445">
        <f t="shared" si="88"/>
        <v>-1.0143076549808682E-2</v>
      </c>
      <c r="V370" s="445">
        <f t="shared" si="88"/>
        <v>-3.8159399205177E-4</v>
      </c>
      <c r="W370" s="445">
        <f t="shared" si="88"/>
        <v>-3.1551133135205293E-2</v>
      </c>
      <c r="X370" s="445">
        <f t="shared" si="88"/>
        <v>2.4894927934635217E-3</v>
      </c>
      <c r="Y370" s="43"/>
      <c r="Z370" s="388">
        <f t="shared" si="83"/>
        <v>1.8953427113490928</v>
      </c>
      <c r="AA370" s="43"/>
      <c r="AB370" s="462">
        <f>IF('TAR_Tab 2_Volumina'!C373="storage",1,0)</f>
        <v>0</v>
      </c>
      <c r="AC370" s="389">
        <f t="shared" si="82"/>
        <v>1.8953427113490928</v>
      </c>
      <c r="AD370" s="389">
        <f t="shared" si="84"/>
        <v>2.0228824583734948</v>
      </c>
      <c r="AE370" s="43"/>
      <c r="AF370" s="1027">
        <f t="shared" si="85"/>
        <v>2.0228824583734948</v>
      </c>
      <c r="AG370" s="392">
        <f t="shared" si="86"/>
        <v>2.0230000000000001</v>
      </c>
      <c r="AH370" s="392">
        <f>AG370+'TAR_Tab 14_Overige tarieven'!$AA$14+'TAR_Tab 14_Overige tarieven'!$AA$15</f>
        <v>2.2030000000000003</v>
      </c>
      <c r="AI370" s="43"/>
    </row>
    <row r="371" spans="1:35">
      <c r="A371" s="96">
        <v>301022</v>
      </c>
      <c r="B371" s="1286" t="s">
        <v>108</v>
      </c>
      <c r="C371" s="1022"/>
      <c r="D371" s="1358"/>
      <c r="E371" s="1022"/>
      <c r="F371" s="1032">
        <v>1.9013214969472292</v>
      </c>
      <c r="G371" s="390">
        <f t="shared" si="89"/>
        <v>1.8092975364949833</v>
      </c>
      <c r="H371" s="390">
        <f t="shared" si="90"/>
        <v>1.8515826392050314</v>
      </c>
      <c r="I371" s="387"/>
      <c r="J371" s="388">
        <f t="shared" si="91"/>
        <v>1.7590035072447798</v>
      </c>
      <c r="K371" s="388">
        <f t="shared" si="92"/>
        <v>1.944161771165283</v>
      </c>
      <c r="L371" s="1316">
        <v>1.8658978154085601</v>
      </c>
      <c r="M371" s="61" t="b">
        <f t="shared" si="93"/>
        <v>1</v>
      </c>
      <c r="N371" s="857">
        <f t="shared" si="81"/>
        <v>1.8658978154085601</v>
      </c>
      <c r="O371" s="15"/>
      <c r="P371" s="445">
        <f t="shared" si="87"/>
        <v>-8.653634553212286E-2</v>
      </c>
      <c r="Q371" s="445">
        <f t="shared" si="75"/>
        <v>8.9542058774913891E-2</v>
      </c>
      <c r="R371" s="445">
        <f t="shared" si="88"/>
        <v>0</v>
      </c>
      <c r="S371" s="445">
        <f t="shared" si="88"/>
        <v>3.3732733888749405E-3</v>
      </c>
      <c r="T371" s="445">
        <f t="shared" si="88"/>
        <v>7.8124371358017433E-2</v>
      </c>
      <c r="U371" s="445">
        <f t="shared" si="88"/>
        <v>-1.0224182994468489E-2</v>
      </c>
      <c r="V371" s="445">
        <f t="shared" si="88"/>
        <v>-3.8464530807476164E-4</v>
      </c>
      <c r="W371" s="445">
        <f t="shared" si="88"/>
        <v>-3.180342347542095E-2</v>
      </c>
      <c r="X371" s="445">
        <f t="shared" si="88"/>
        <v>2.5093993680114432E-3</v>
      </c>
      <c r="Y371" s="43"/>
      <c r="Z371" s="388">
        <f t="shared" si="83"/>
        <v>1.9104983209882909</v>
      </c>
      <c r="AA371" s="43"/>
      <c r="AB371" s="462">
        <f>IF('TAR_Tab 2_Volumina'!C374="storage",1,0)</f>
        <v>0</v>
      </c>
      <c r="AC371" s="389">
        <f t="shared" si="82"/>
        <v>1.9104983209882909</v>
      </c>
      <c r="AD371" s="389">
        <f t="shared" si="84"/>
        <v>2.0390579060650986</v>
      </c>
      <c r="AE371" s="43"/>
      <c r="AF371" s="1027">
        <f t="shared" si="85"/>
        <v>2.0390579060650986</v>
      </c>
      <c r="AG371" s="392">
        <f t="shared" si="86"/>
        <v>2.0390000000000001</v>
      </c>
      <c r="AH371" s="392">
        <f>AG371+'TAR_Tab 14_Overige tarieven'!$AA$14+'TAR_Tab 14_Overige tarieven'!$AA$15</f>
        <v>2.2190000000000003</v>
      </c>
      <c r="AI371" s="43"/>
    </row>
    <row r="372" spans="1:35">
      <c r="A372" s="96">
        <v>301024</v>
      </c>
      <c r="B372" s="1286" t="s">
        <v>216</v>
      </c>
      <c r="C372" s="1022"/>
      <c r="D372" s="1358"/>
      <c r="E372" s="1022"/>
      <c r="F372" s="1032">
        <v>2.6474770634113538</v>
      </c>
      <c r="G372" s="390">
        <f t="shared" si="89"/>
        <v>2.5193391735422441</v>
      </c>
      <c r="H372" s="390">
        <f t="shared" si="90"/>
        <v>2.5782186632700945</v>
      </c>
      <c r="I372" s="387"/>
      <c r="J372" s="388">
        <f t="shared" si="91"/>
        <v>2.4493077301065895</v>
      </c>
      <c r="K372" s="388">
        <f t="shared" si="92"/>
        <v>2.7071295964335995</v>
      </c>
      <c r="L372" s="1316">
        <v>2.5981516944373038</v>
      </c>
      <c r="M372" s="61" t="b">
        <f t="shared" si="93"/>
        <v>1</v>
      </c>
      <c r="N372" s="857">
        <f t="shared" si="81"/>
        <v>2.5981516944373038</v>
      </c>
      <c r="O372" s="15"/>
      <c r="P372" s="445">
        <f t="shared" si="87"/>
        <v>-0.12049671258415984</v>
      </c>
      <c r="Q372" s="445">
        <f t="shared" si="75"/>
        <v>0.12468198944673027</v>
      </c>
      <c r="R372" s="445">
        <f t="shared" si="88"/>
        <v>0</v>
      </c>
      <c r="S372" s="445">
        <f t="shared" si="88"/>
        <v>4.6970824976214744E-3</v>
      </c>
      <c r="T372" s="445">
        <f t="shared" si="88"/>
        <v>0.10878353902581613</v>
      </c>
      <c r="U372" s="445">
        <f t="shared" si="88"/>
        <v>-1.4236566521462419E-2</v>
      </c>
      <c r="V372" s="445">
        <f t="shared" si="88"/>
        <v>-5.3559570662393302E-4</v>
      </c>
      <c r="W372" s="445">
        <f t="shared" si="88"/>
        <v>-4.4284375011972049E-2</v>
      </c>
      <c r="X372" s="445">
        <f t="shared" si="88"/>
        <v>3.4941893206468242E-3</v>
      </c>
      <c r="Y372" s="43"/>
      <c r="Z372" s="388">
        <f t="shared" si="83"/>
        <v>2.6602552449039001</v>
      </c>
      <c r="AA372" s="43"/>
      <c r="AB372" s="462">
        <f>IF('TAR_Tab 2_Volumina'!C375="storage",1,0)</f>
        <v>0</v>
      </c>
      <c r="AC372" s="389">
        <f t="shared" si="82"/>
        <v>2.6602552449039001</v>
      </c>
      <c r="AD372" s="389">
        <f t="shared" si="84"/>
        <v>2.8392668183379621</v>
      </c>
      <c r="AE372" s="43"/>
      <c r="AF372" s="1027">
        <f t="shared" si="85"/>
        <v>2.8392668183379621</v>
      </c>
      <c r="AG372" s="392">
        <f t="shared" si="86"/>
        <v>2.839</v>
      </c>
      <c r="AH372" s="392">
        <f>AG372+'TAR_Tab 14_Overige tarieven'!$AA$14+'TAR_Tab 14_Overige tarieven'!$AA$15</f>
        <v>3.0190000000000001</v>
      </c>
      <c r="AI372" s="43"/>
    </row>
    <row r="373" spans="1:35">
      <c r="A373" s="96">
        <v>301025</v>
      </c>
      <c r="B373" s="1286" t="s">
        <v>217</v>
      </c>
      <c r="C373" s="1022"/>
      <c r="D373" s="1358"/>
      <c r="E373" s="1022"/>
      <c r="F373" s="1032">
        <v>2.523265673036827</v>
      </c>
      <c r="G373" s="390">
        <f t="shared" si="89"/>
        <v>2.4011396144618447</v>
      </c>
      <c r="H373" s="390">
        <f t="shared" si="90"/>
        <v>2.4572566616421421</v>
      </c>
      <c r="I373" s="387"/>
      <c r="J373" s="388">
        <f t="shared" si="91"/>
        <v>2.3343938285600347</v>
      </c>
      <c r="K373" s="388">
        <f t="shared" si="92"/>
        <v>2.5801194947242494</v>
      </c>
      <c r="L373" s="1316">
        <v>2.4762544969771096</v>
      </c>
      <c r="M373" s="61" t="b">
        <f t="shared" si="93"/>
        <v>1</v>
      </c>
      <c r="N373" s="857">
        <f t="shared" si="81"/>
        <v>2.4762544969771096</v>
      </c>
      <c r="O373" s="15"/>
      <c r="P373" s="445">
        <f t="shared" si="87"/>
        <v>-0.11484338156479583</v>
      </c>
      <c r="Q373" s="445">
        <f t="shared" ref="Q373:Q436" si="94">$N373*Q$5</f>
        <v>0.11883229825284887</v>
      </c>
      <c r="R373" s="445">
        <f t="shared" si="88"/>
        <v>0</v>
      </c>
      <c r="S373" s="445">
        <f t="shared" si="88"/>
        <v>4.476709994381863E-3</v>
      </c>
      <c r="T373" s="445">
        <f t="shared" si="88"/>
        <v>0.1036797536827819</v>
      </c>
      <c r="U373" s="445">
        <f t="shared" si="88"/>
        <v>-1.3568631094852257E-2</v>
      </c>
      <c r="V373" s="445">
        <f t="shared" si="88"/>
        <v>-5.1046722172870844E-4</v>
      </c>
      <c r="W373" s="445">
        <f t="shared" si="88"/>
        <v>-4.2206689857254877E-2</v>
      </c>
      <c r="X373" s="445">
        <f t="shared" si="88"/>
        <v>3.3302528243698299E-3</v>
      </c>
      <c r="Y373" s="43"/>
      <c r="Z373" s="388">
        <f t="shared" si="83"/>
        <v>2.5354443419928603</v>
      </c>
      <c r="AA373" s="43"/>
      <c r="AB373" s="462">
        <f>IF('TAR_Tab 2_Volumina'!C376="storage",1,0)</f>
        <v>0</v>
      </c>
      <c r="AC373" s="389">
        <f t="shared" si="82"/>
        <v>2.5354443419928603</v>
      </c>
      <c r="AD373" s="389">
        <f t="shared" si="84"/>
        <v>2.7060572491129919</v>
      </c>
      <c r="AE373" s="43"/>
      <c r="AF373" s="1027">
        <f t="shared" si="85"/>
        <v>2.7060572491129919</v>
      </c>
      <c r="AG373" s="392">
        <f t="shared" si="86"/>
        <v>2.706</v>
      </c>
      <c r="AH373" s="392">
        <f>AG373+'TAR_Tab 14_Overige tarieven'!$AA$14+'TAR_Tab 14_Overige tarieven'!$AA$15</f>
        <v>2.8860000000000001</v>
      </c>
      <c r="AI373" s="43"/>
    </row>
    <row r="374" spans="1:35">
      <c r="A374" s="96">
        <v>301027</v>
      </c>
      <c r="B374" s="1286" t="s">
        <v>818</v>
      </c>
      <c r="C374" s="1022"/>
      <c r="D374" s="1358"/>
      <c r="E374" s="1022"/>
      <c r="F374" s="1032">
        <v>2.523265673036827</v>
      </c>
      <c r="G374" s="390">
        <f t="shared" si="89"/>
        <v>2.4011396144618447</v>
      </c>
      <c r="H374" s="390">
        <f t="shared" si="90"/>
        <v>2.4572566616421421</v>
      </c>
      <c r="I374" s="387"/>
      <c r="J374" s="388">
        <f t="shared" si="91"/>
        <v>2.3343938285600347</v>
      </c>
      <c r="K374" s="388">
        <f t="shared" si="92"/>
        <v>2.5801194947242494</v>
      </c>
      <c r="L374" s="1316">
        <v>2.4762544969771096</v>
      </c>
      <c r="M374" s="61" t="b">
        <f t="shared" si="93"/>
        <v>1</v>
      </c>
      <c r="N374" s="857">
        <f t="shared" si="81"/>
        <v>2.4762544969771096</v>
      </c>
      <c r="O374" s="15"/>
      <c r="P374" s="445">
        <f t="shared" si="87"/>
        <v>-0.11484338156479583</v>
      </c>
      <c r="Q374" s="445">
        <f t="shared" si="94"/>
        <v>0.11883229825284887</v>
      </c>
      <c r="R374" s="445">
        <f t="shared" si="88"/>
        <v>0</v>
      </c>
      <c r="S374" s="445">
        <f t="shared" si="88"/>
        <v>4.476709994381863E-3</v>
      </c>
      <c r="T374" s="445">
        <f t="shared" si="88"/>
        <v>0.1036797536827819</v>
      </c>
      <c r="U374" s="445">
        <f t="shared" si="88"/>
        <v>-1.3568631094852257E-2</v>
      </c>
      <c r="V374" s="445">
        <f t="shared" si="88"/>
        <v>-5.1046722172870844E-4</v>
      </c>
      <c r="W374" s="445">
        <f t="shared" si="88"/>
        <v>-4.2206689857254877E-2</v>
      </c>
      <c r="X374" s="445">
        <f t="shared" si="88"/>
        <v>3.3302528243698299E-3</v>
      </c>
      <c r="Y374" s="43"/>
      <c r="Z374" s="388">
        <f t="shared" si="83"/>
        <v>2.5354443419928603</v>
      </c>
      <c r="AA374" s="43"/>
      <c r="AB374" s="462">
        <f>IF('TAR_Tab 2_Volumina'!C377="storage",1,0)</f>
        <v>0</v>
      </c>
      <c r="AC374" s="389">
        <f t="shared" si="82"/>
        <v>2.5354443419928603</v>
      </c>
      <c r="AD374" s="389">
        <f t="shared" si="84"/>
        <v>2.7060572491129919</v>
      </c>
      <c r="AE374" s="43"/>
      <c r="AF374" s="1027">
        <f t="shared" si="85"/>
        <v>2.7060572491129919</v>
      </c>
      <c r="AG374" s="392">
        <f t="shared" si="86"/>
        <v>2.706</v>
      </c>
      <c r="AH374" s="392">
        <f>AG374+'TAR_Tab 14_Overige tarieven'!$AA$14+'TAR_Tab 14_Overige tarieven'!$AA$15</f>
        <v>2.8860000000000001</v>
      </c>
      <c r="AI374" s="43"/>
    </row>
    <row r="375" spans="1:35">
      <c r="A375" s="96">
        <v>301028</v>
      </c>
      <c r="B375" s="1286" t="s">
        <v>218</v>
      </c>
      <c r="C375" s="1022"/>
      <c r="D375" s="1358"/>
      <c r="E375" s="1022"/>
      <c r="F375" s="1032">
        <v>1.8534113892313402</v>
      </c>
      <c r="G375" s="390">
        <f t="shared" si="89"/>
        <v>1.7637062779925434</v>
      </c>
      <c r="H375" s="390">
        <f t="shared" si="90"/>
        <v>1.8049258671485353</v>
      </c>
      <c r="I375" s="387"/>
      <c r="J375" s="388">
        <f t="shared" si="91"/>
        <v>1.7146795737911085</v>
      </c>
      <c r="K375" s="388">
        <f t="shared" si="92"/>
        <v>1.8951721605059622</v>
      </c>
      <c r="L375" s="1316">
        <v>1.8188803249596279</v>
      </c>
      <c r="M375" s="61" t="b">
        <f t="shared" si="93"/>
        <v>1</v>
      </c>
      <c r="N375" s="857">
        <f t="shared" si="81"/>
        <v>1.8188803249596279</v>
      </c>
      <c r="O375" s="15"/>
      <c r="P375" s="445">
        <f t="shared" si="87"/>
        <v>-8.4355774996082447E-2</v>
      </c>
      <c r="Q375" s="445">
        <f t="shared" si="94"/>
        <v>8.7285749314416766E-2</v>
      </c>
      <c r="R375" s="445">
        <f t="shared" si="88"/>
        <v>0</v>
      </c>
      <c r="S375" s="445">
        <f t="shared" si="88"/>
        <v>3.2882725661968044E-3</v>
      </c>
      <c r="T375" s="445">
        <f t="shared" si="88"/>
        <v>7.6155768439989946E-2</v>
      </c>
      <c r="U375" s="445">
        <f t="shared" si="88"/>
        <v>-9.9665507584902838E-3</v>
      </c>
      <c r="V375" s="445">
        <f t="shared" si="88"/>
        <v>-3.7495289247231785E-4</v>
      </c>
      <c r="W375" s="445">
        <f t="shared" si="88"/>
        <v>-3.1002030630030042E-2</v>
      </c>
      <c r="X375" s="445">
        <f t="shared" si="88"/>
        <v>2.4461667194474591E-3</v>
      </c>
      <c r="Y375" s="43"/>
      <c r="Z375" s="388">
        <f t="shared" si="83"/>
        <v>1.8623569727226039</v>
      </c>
      <c r="AA375" s="43"/>
      <c r="AB375" s="462">
        <f>IF('TAR_Tab 2_Volumina'!C378="storage",1,0)</f>
        <v>0</v>
      </c>
      <c r="AC375" s="389">
        <f t="shared" si="82"/>
        <v>1.8623569727226039</v>
      </c>
      <c r="AD375" s="389">
        <f t="shared" si="84"/>
        <v>1.9876770722211816</v>
      </c>
      <c r="AE375" s="43"/>
      <c r="AF375" s="1027">
        <f t="shared" si="85"/>
        <v>1.9876770722211816</v>
      </c>
      <c r="AG375" s="392">
        <f t="shared" si="86"/>
        <v>1.988</v>
      </c>
      <c r="AH375" s="392">
        <f>AG375+'TAR_Tab 14_Overige tarieven'!$AA$14+'TAR_Tab 14_Overige tarieven'!$AA$15</f>
        <v>2.1680000000000001</v>
      </c>
      <c r="AI375" s="43"/>
    </row>
    <row r="376" spans="1:35">
      <c r="A376" s="96">
        <v>301029</v>
      </c>
      <c r="B376" s="1286" t="s">
        <v>219</v>
      </c>
      <c r="C376" s="1022"/>
      <c r="D376" s="1358"/>
      <c r="E376" s="1022"/>
      <c r="F376" s="1032">
        <v>1.8534113892313402</v>
      </c>
      <c r="G376" s="390">
        <f t="shared" si="89"/>
        <v>1.7637062779925434</v>
      </c>
      <c r="H376" s="390">
        <f t="shared" si="90"/>
        <v>1.8049258671485353</v>
      </c>
      <c r="I376" s="387"/>
      <c r="J376" s="388">
        <f t="shared" si="91"/>
        <v>1.7146795737911085</v>
      </c>
      <c r="K376" s="388">
        <f t="shared" si="92"/>
        <v>1.8951721605059622</v>
      </c>
      <c r="L376" s="1316">
        <v>1.8188803249596279</v>
      </c>
      <c r="M376" s="61" t="b">
        <f t="shared" si="93"/>
        <v>1</v>
      </c>
      <c r="N376" s="857">
        <f t="shared" si="81"/>
        <v>1.8188803249596279</v>
      </c>
      <c r="O376" s="15"/>
      <c r="P376" s="445">
        <f t="shared" si="87"/>
        <v>-8.4355774996082447E-2</v>
      </c>
      <c r="Q376" s="445">
        <f t="shared" si="94"/>
        <v>8.7285749314416766E-2</v>
      </c>
      <c r="R376" s="445">
        <f t="shared" si="88"/>
        <v>0</v>
      </c>
      <c r="S376" s="445">
        <f t="shared" si="88"/>
        <v>3.2882725661968044E-3</v>
      </c>
      <c r="T376" s="445">
        <f t="shared" si="88"/>
        <v>7.6155768439989946E-2</v>
      </c>
      <c r="U376" s="445">
        <f t="shared" si="88"/>
        <v>-9.9665507584902838E-3</v>
      </c>
      <c r="V376" s="445">
        <f t="shared" si="88"/>
        <v>-3.7495289247231785E-4</v>
      </c>
      <c r="W376" s="445">
        <f t="shared" si="88"/>
        <v>-3.1002030630030042E-2</v>
      </c>
      <c r="X376" s="445">
        <f t="shared" si="88"/>
        <v>2.4461667194474591E-3</v>
      </c>
      <c r="Y376" s="43"/>
      <c r="Z376" s="388">
        <f t="shared" si="83"/>
        <v>1.8623569727226039</v>
      </c>
      <c r="AA376" s="43"/>
      <c r="AB376" s="462">
        <f>IF('TAR_Tab 2_Volumina'!C379="storage",1,0)</f>
        <v>0</v>
      </c>
      <c r="AC376" s="389">
        <f t="shared" si="82"/>
        <v>1.8623569727226039</v>
      </c>
      <c r="AD376" s="389">
        <f t="shared" si="84"/>
        <v>1.9876770722211816</v>
      </c>
      <c r="AE376" s="43"/>
      <c r="AF376" s="1027">
        <f t="shared" si="85"/>
        <v>1.9876770722211816</v>
      </c>
      <c r="AG376" s="392">
        <f t="shared" si="86"/>
        <v>1.988</v>
      </c>
      <c r="AH376" s="392">
        <f>AG376+'TAR_Tab 14_Overige tarieven'!$AA$14+'TAR_Tab 14_Overige tarieven'!$AA$15</f>
        <v>2.1680000000000001</v>
      </c>
      <c r="AI376" s="43"/>
    </row>
    <row r="377" spans="1:35">
      <c r="A377" s="96">
        <v>301031</v>
      </c>
      <c r="B377" s="1286" t="s">
        <v>220</v>
      </c>
      <c r="C377" s="1022"/>
      <c r="D377" s="1358"/>
      <c r="E377" s="1022"/>
      <c r="F377" s="1032">
        <v>2.2535495110807107</v>
      </c>
      <c r="G377" s="390">
        <f t="shared" si="89"/>
        <v>2.1444777147444043</v>
      </c>
      <c r="H377" s="390">
        <f t="shared" si="90"/>
        <v>2.1945963152500143</v>
      </c>
      <c r="I377" s="387"/>
      <c r="J377" s="388">
        <f t="shared" si="91"/>
        <v>2.0848664994875135</v>
      </c>
      <c r="K377" s="388">
        <f t="shared" si="92"/>
        <v>2.3043261310125152</v>
      </c>
      <c r="L377" s="1316">
        <v>2.2115634396349715</v>
      </c>
      <c r="M377" s="61" t="b">
        <f t="shared" si="93"/>
        <v>1</v>
      </c>
      <c r="N377" s="857">
        <f t="shared" si="81"/>
        <v>2.2115634396349715</v>
      </c>
      <c r="O377" s="15"/>
      <c r="P377" s="445">
        <f t="shared" si="87"/>
        <v>-0.10256757706560528</v>
      </c>
      <c r="Q377" s="445">
        <f t="shared" si="94"/>
        <v>0.10613011166042059</v>
      </c>
      <c r="R377" s="445">
        <f t="shared" si="88"/>
        <v>0</v>
      </c>
      <c r="S377" s="445">
        <f t="shared" si="88"/>
        <v>3.9981868444901314E-3</v>
      </c>
      <c r="T377" s="445">
        <f t="shared" si="88"/>
        <v>9.2597248366478924E-2</v>
      </c>
      <c r="U377" s="445">
        <f t="shared" si="88"/>
        <v>-1.2118257025641609E-2</v>
      </c>
      <c r="V377" s="445">
        <f t="shared" si="88"/>
        <v>-4.559025116705062E-4</v>
      </c>
      <c r="W377" s="445">
        <f t="shared" si="88"/>
        <v>-3.7695144949868989E-2</v>
      </c>
      <c r="X377" s="445">
        <f t="shared" si="88"/>
        <v>2.9742764324540674E-3</v>
      </c>
      <c r="Y377" s="43"/>
      <c r="Z377" s="388">
        <f t="shared" si="83"/>
        <v>2.2644263813860288</v>
      </c>
      <c r="AA377" s="43"/>
      <c r="AB377" s="462">
        <f>IF('TAR_Tab 2_Volumina'!C380="storage",1,0)</f>
        <v>0</v>
      </c>
      <c r="AC377" s="389">
        <f t="shared" si="82"/>
        <v>2.2644263813860288</v>
      </c>
      <c r="AD377" s="389">
        <f t="shared" si="84"/>
        <v>2.416802184510197</v>
      </c>
      <c r="AE377" s="43"/>
      <c r="AF377" s="1027">
        <f t="shared" si="85"/>
        <v>2.416802184510197</v>
      </c>
      <c r="AG377" s="392">
        <f t="shared" si="86"/>
        <v>2.4169999999999998</v>
      </c>
      <c r="AH377" s="392">
        <f>AG377+'TAR_Tab 14_Overige tarieven'!$AA$14+'TAR_Tab 14_Overige tarieven'!$AA$15</f>
        <v>2.597</v>
      </c>
      <c r="AI377" s="43"/>
    </row>
    <row r="378" spans="1:35">
      <c r="A378" s="96">
        <v>301033</v>
      </c>
      <c r="B378" s="1286" t="s">
        <v>221</v>
      </c>
      <c r="C378" s="1022"/>
      <c r="D378" s="1358"/>
      <c r="E378" s="1022"/>
      <c r="F378" s="1032">
        <v>1.620071420170621</v>
      </c>
      <c r="G378" s="390">
        <f t="shared" si="89"/>
        <v>1.5416599634343628</v>
      </c>
      <c r="H378" s="390">
        <f t="shared" si="90"/>
        <v>1.5776901069474512</v>
      </c>
      <c r="I378" s="387"/>
      <c r="J378" s="388">
        <f t="shared" si="91"/>
        <v>1.4988056016000786</v>
      </c>
      <c r="K378" s="388">
        <f t="shared" si="92"/>
        <v>1.6565746122948237</v>
      </c>
      <c r="L378" s="1316">
        <v>1.5898877325879754</v>
      </c>
      <c r="M378" s="61" t="b">
        <f t="shared" si="93"/>
        <v>1</v>
      </c>
      <c r="N378" s="857">
        <f t="shared" si="81"/>
        <v>1.5898877325879754</v>
      </c>
      <c r="O378" s="15"/>
      <c r="P378" s="445">
        <f t="shared" si="87"/>
        <v>-7.3735588866848514E-2</v>
      </c>
      <c r="Q378" s="445">
        <f t="shared" si="94"/>
        <v>7.6296686571625194E-2</v>
      </c>
      <c r="R378" s="445">
        <f t="shared" si="88"/>
        <v>0</v>
      </c>
      <c r="S378" s="445">
        <f t="shared" si="88"/>
        <v>2.8742870779681021E-3</v>
      </c>
      <c r="T378" s="445">
        <f t="shared" si="88"/>
        <v>6.6567943117004133E-2</v>
      </c>
      <c r="U378" s="445">
        <f t="shared" si="88"/>
        <v>-8.7117863499297545E-3</v>
      </c>
      <c r="V378" s="445">
        <f t="shared" si="88"/>
        <v>-3.2774723870485995E-4</v>
      </c>
      <c r="W378" s="445">
        <f t="shared" si="88"/>
        <v>-2.7098950660811326E-2</v>
      </c>
      <c r="X378" s="445">
        <f t="shared" si="88"/>
        <v>2.1382003014413886E-3</v>
      </c>
      <c r="Y378" s="43"/>
      <c r="Z378" s="388">
        <f t="shared" si="83"/>
        <v>1.6278907765397199</v>
      </c>
      <c r="AA378" s="43"/>
      <c r="AB378" s="462">
        <f>IF('TAR_Tab 2_Volumina'!C381="storage",1,0)</f>
        <v>0</v>
      </c>
      <c r="AC378" s="389">
        <f t="shared" si="82"/>
        <v>1.6278907765397199</v>
      </c>
      <c r="AD378" s="389">
        <f t="shared" si="84"/>
        <v>1.7374333814628424</v>
      </c>
      <c r="AE378" s="43"/>
      <c r="AF378" s="1027">
        <f t="shared" si="85"/>
        <v>1.7374333814628424</v>
      </c>
      <c r="AG378" s="392">
        <f t="shared" si="86"/>
        <v>1.7370000000000001</v>
      </c>
      <c r="AH378" s="392">
        <f>AG378+'TAR_Tab 14_Overige tarieven'!$AA$14+'TAR_Tab 14_Overige tarieven'!$AA$15</f>
        <v>1.917</v>
      </c>
      <c r="AI378" s="43"/>
    </row>
    <row r="379" spans="1:35">
      <c r="A379" s="96">
        <v>301034</v>
      </c>
      <c r="B379" s="1286" t="s">
        <v>222</v>
      </c>
      <c r="C379" s="1022"/>
      <c r="D379" s="1358"/>
      <c r="E379" s="1022"/>
      <c r="F379" s="1032">
        <v>2.6474770634113538</v>
      </c>
      <c r="G379" s="390">
        <f t="shared" si="89"/>
        <v>2.5193391735422441</v>
      </c>
      <c r="H379" s="390">
        <f t="shared" si="90"/>
        <v>2.5782186632700945</v>
      </c>
      <c r="I379" s="387"/>
      <c r="J379" s="388">
        <f t="shared" si="91"/>
        <v>2.4493077301065895</v>
      </c>
      <c r="K379" s="388">
        <f t="shared" si="92"/>
        <v>2.7071295964335995</v>
      </c>
      <c r="L379" s="1316">
        <v>2.5981516944373038</v>
      </c>
      <c r="M379" s="61" t="b">
        <f t="shared" si="93"/>
        <v>1</v>
      </c>
      <c r="N379" s="857">
        <f t="shared" si="81"/>
        <v>2.5981516944373038</v>
      </c>
      <c r="O379" s="15"/>
      <c r="P379" s="445">
        <f t="shared" si="87"/>
        <v>-0.12049671258415984</v>
      </c>
      <c r="Q379" s="445">
        <f t="shared" si="94"/>
        <v>0.12468198944673027</v>
      </c>
      <c r="R379" s="445">
        <f t="shared" si="88"/>
        <v>0</v>
      </c>
      <c r="S379" s="445">
        <f t="shared" si="88"/>
        <v>4.6970824976214744E-3</v>
      </c>
      <c r="T379" s="445">
        <f t="shared" si="88"/>
        <v>0.10878353902581613</v>
      </c>
      <c r="U379" s="445">
        <f t="shared" si="88"/>
        <v>-1.4236566521462419E-2</v>
      </c>
      <c r="V379" s="445">
        <f t="shared" si="88"/>
        <v>-5.3559570662393302E-4</v>
      </c>
      <c r="W379" s="445">
        <f t="shared" si="88"/>
        <v>-4.4284375011972049E-2</v>
      </c>
      <c r="X379" s="445">
        <f t="shared" si="88"/>
        <v>3.4941893206468242E-3</v>
      </c>
      <c r="Y379" s="43"/>
      <c r="Z379" s="388">
        <f t="shared" si="83"/>
        <v>2.6602552449039001</v>
      </c>
      <c r="AA379" s="43"/>
      <c r="AB379" s="462">
        <f>IF('TAR_Tab 2_Volumina'!C382="storage",1,0)</f>
        <v>0</v>
      </c>
      <c r="AC379" s="389">
        <f t="shared" si="82"/>
        <v>2.6602552449039001</v>
      </c>
      <c r="AD379" s="389">
        <f t="shared" si="84"/>
        <v>2.8392668183379621</v>
      </c>
      <c r="AE379" s="43"/>
      <c r="AF379" s="1027">
        <f t="shared" si="85"/>
        <v>2.8392668183379621</v>
      </c>
      <c r="AG379" s="392">
        <f t="shared" si="86"/>
        <v>2.839</v>
      </c>
      <c r="AH379" s="392">
        <f>AG379+'TAR_Tab 14_Overige tarieven'!$AA$14+'TAR_Tab 14_Overige tarieven'!$AA$15</f>
        <v>3.0190000000000001</v>
      </c>
      <c r="AI379" s="43"/>
    </row>
    <row r="380" spans="1:35">
      <c r="A380" s="96">
        <v>301037</v>
      </c>
      <c r="B380" s="1286" t="s">
        <v>313</v>
      </c>
      <c r="C380" s="1022"/>
      <c r="D380" s="1358"/>
      <c r="E380" s="1022"/>
      <c r="F380" s="1032">
        <v>3.5086972382053876</v>
      </c>
      <c r="G380" s="390">
        <f t="shared" si="89"/>
        <v>3.3388762918762467</v>
      </c>
      <c r="H380" s="390">
        <f t="shared" si="90"/>
        <v>3.4169091881193037</v>
      </c>
      <c r="I380" s="387"/>
      <c r="J380" s="388">
        <f t="shared" si="91"/>
        <v>3.2460637287133385</v>
      </c>
      <c r="K380" s="388">
        <f t="shared" si="92"/>
        <v>3.5877546475252688</v>
      </c>
      <c r="L380" s="1316">
        <v>3.4433264033511253</v>
      </c>
      <c r="M380" s="61" t="b">
        <f t="shared" si="93"/>
        <v>1</v>
      </c>
      <c r="N380" s="857">
        <f t="shared" si="81"/>
        <v>3.4433264033511253</v>
      </c>
      <c r="O380" s="15"/>
      <c r="P380" s="445">
        <f t="shared" si="87"/>
        <v>-0.15969410594707736</v>
      </c>
      <c r="Q380" s="445">
        <f t="shared" si="94"/>
        <v>0.1652408468695101</v>
      </c>
      <c r="R380" s="445">
        <f t="shared" si="88"/>
        <v>0</v>
      </c>
      <c r="S380" s="445">
        <f t="shared" si="88"/>
        <v>6.2250361352674125E-3</v>
      </c>
      <c r="T380" s="445">
        <f t="shared" si="88"/>
        <v>0.14417065523138922</v>
      </c>
      <c r="U380" s="445">
        <f t="shared" si="88"/>
        <v>-1.8867699488590874E-2</v>
      </c>
      <c r="V380" s="445">
        <f t="shared" si="88"/>
        <v>-7.098241577226718E-4</v>
      </c>
      <c r="W380" s="445">
        <f t="shared" si="88"/>
        <v>-5.8690013389557226E-2</v>
      </c>
      <c r="X380" s="445">
        <f t="shared" si="88"/>
        <v>4.6308436770072809E-3</v>
      </c>
      <c r="Y380" s="43"/>
      <c r="Z380" s="388">
        <f t="shared" si="83"/>
        <v>3.525632142281351</v>
      </c>
      <c r="AA380" s="43"/>
      <c r="AB380" s="462">
        <f>IF('TAR_Tab 2_Volumina'!C383="storage",1,0)</f>
        <v>0</v>
      </c>
      <c r="AC380" s="389">
        <f t="shared" si="82"/>
        <v>3.525632142281351</v>
      </c>
      <c r="AD380" s="389">
        <f t="shared" si="84"/>
        <v>3.7628759023861398</v>
      </c>
      <c r="AE380" s="43"/>
      <c r="AF380" s="1027">
        <f t="shared" si="85"/>
        <v>3.7628759023861398</v>
      </c>
      <c r="AG380" s="392">
        <f t="shared" si="86"/>
        <v>3.7629999999999999</v>
      </c>
      <c r="AH380" s="392">
        <f>AG380+'TAR_Tab 14_Overige tarieven'!$AA$14+'TAR_Tab 14_Overige tarieven'!$AA$15</f>
        <v>3.9430000000000001</v>
      </c>
      <c r="AI380" s="43"/>
    </row>
    <row r="381" spans="1:35">
      <c r="A381" s="96">
        <v>301038</v>
      </c>
      <c r="B381" s="1286" t="s">
        <v>819</v>
      </c>
      <c r="C381" s="1022"/>
      <c r="D381" s="1358"/>
      <c r="E381" s="1022"/>
      <c r="F381" s="1032">
        <v>1.9758483311719455</v>
      </c>
      <c r="G381" s="390">
        <f t="shared" si="89"/>
        <v>1.8802172719432233</v>
      </c>
      <c r="H381" s="390">
        <f t="shared" si="90"/>
        <v>1.9241598401818034</v>
      </c>
      <c r="I381" s="387"/>
      <c r="J381" s="388">
        <f t="shared" si="91"/>
        <v>1.8279518481727131</v>
      </c>
      <c r="K381" s="388">
        <f t="shared" si="92"/>
        <v>2.0203678321908938</v>
      </c>
      <c r="L381" s="1316">
        <v>1.9390361338846771</v>
      </c>
      <c r="M381" s="61" t="b">
        <f t="shared" si="93"/>
        <v>1</v>
      </c>
      <c r="N381" s="857">
        <f t="shared" si="81"/>
        <v>1.9390361338846771</v>
      </c>
      <c r="O381" s="15"/>
      <c r="P381" s="445">
        <f t="shared" si="87"/>
        <v>-8.992834414374129E-2</v>
      </c>
      <c r="Q381" s="445">
        <f t="shared" si="94"/>
        <v>9.3051873491242748E-2</v>
      </c>
      <c r="R381" s="445">
        <f t="shared" si="88"/>
        <v>0</v>
      </c>
      <c r="S381" s="445">
        <f t="shared" si="88"/>
        <v>3.5054968908187082E-3</v>
      </c>
      <c r="T381" s="445">
        <f t="shared" si="88"/>
        <v>8.1186642563837993E-2</v>
      </c>
      <c r="U381" s="445">
        <f t="shared" si="88"/>
        <v>-1.0624944250434589E-2</v>
      </c>
      <c r="V381" s="445">
        <f t="shared" si="88"/>
        <v>-3.9972239901189647E-4</v>
      </c>
      <c r="W381" s="445">
        <f t="shared" ref="R381:X418" si="95">$N381*W$5</f>
        <v>-3.3050034568251264E-2</v>
      </c>
      <c r="X381" s="445">
        <f t="shared" si="95"/>
        <v>2.60776126577764E-3</v>
      </c>
      <c r="Y381" s="43"/>
      <c r="Z381" s="388">
        <f t="shared" si="83"/>
        <v>1.9853848627349151</v>
      </c>
      <c r="AA381" s="43"/>
      <c r="AB381" s="462">
        <f>IF('TAR_Tab 2_Volumina'!C384="storage",1,0)</f>
        <v>0</v>
      </c>
      <c r="AC381" s="389">
        <f t="shared" si="82"/>
        <v>1.9853848627349151</v>
      </c>
      <c r="AD381" s="389">
        <f t="shared" si="84"/>
        <v>2.1189836476000812</v>
      </c>
      <c r="AE381" s="43"/>
      <c r="AF381" s="1027">
        <f t="shared" si="85"/>
        <v>2.1189836476000812</v>
      </c>
      <c r="AG381" s="392">
        <f t="shared" si="86"/>
        <v>2.1190000000000002</v>
      </c>
      <c r="AH381" s="392">
        <f>AG381+'TAR_Tab 14_Overige tarieven'!$AA$14+'TAR_Tab 14_Overige tarieven'!$AA$15</f>
        <v>2.2990000000000004</v>
      </c>
      <c r="AI381" s="43"/>
    </row>
    <row r="382" spans="1:35">
      <c r="A382" s="96">
        <v>301039</v>
      </c>
      <c r="B382" s="1286" t="s">
        <v>223</v>
      </c>
      <c r="C382" s="1022"/>
      <c r="D382" s="1358"/>
      <c r="E382" s="1022"/>
      <c r="F382" s="1032">
        <v>1.8534113892313402</v>
      </c>
      <c r="G382" s="390">
        <f t="shared" si="89"/>
        <v>1.7637062779925434</v>
      </c>
      <c r="H382" s="390">
        <f t="shared" si="90"/>
        <v>1.8049258671485353</v>
      </c>
      <c r="I382" s="387"/>
      <c r="J382" s="388">
        <f t="shared" si="91"/>
        <v>1.7146795737911085</v>
      </c>
      <c r="K382" s="388">
        <f t="shared" si="92"/>
        <v>1.8951721605059622</v>
      </c>
      <c r="L382" s="1316">
        <v>1.8188803249596279</v>
      </c>
      <c r="M382" s="61" t="b">
        <f t="shared" si="93"/>
        <v>1</v>
      </c>
      <c r="N382" s="857">
        <f t="shared" si="81"/>
        <v>1.8188803249596279</v>
      </c>
      <c r="O382" s="15"/>
      <c r="P382" s="445">
        <f t="shared" si="87"/>
        <v>-8.4355774996082447E-2</v>
      </c>
      <c r="Q382" s="445">
        <f t="shared" si="94"/>
        <v>8.7285749314416766E-2</v>
      </c>
      <c r="R382" s="445">
        <f t="shared" si="95"/>
        <v>0</v>
      </c>
      <c r="S382" s="445">
        <f t="shared" si="95"/>
        <v>3.2882725661968044E-3</v>
      </c>
      <c r="T382" s="445">
        <f t="shared" si="95"/>
        <v>7.6155768439989946E-2</v>
      </c>
      <c r="U382" s="445">
        <f t="shared" si="95"/>
        <v>-9.9665507584902838E-3</v>
      </c>
      <c r="V382" s="445">
        <f t="shared" si="95"/>
        <v>-3.7495289247231785E-4</v>
      </c>
      <c r="W382" s="445">
        <f t="shared" si="95"/>
        <v>-3.1002030630030042E-2</v>
      </c>
      <c r="X382" s="445">
        <f t="shared" si="95"/>
        <v>2.4461667194474591E-3</v>
      </c>
      <c r="Y382" s="43"/>
      <c r="Z382" s="388">
        <f t="shared" si="83"/>
        <v>1.8623569727226039</v>
      </c>
      <c r="AA382" s="43"/>
      <c r="AB382" s="462">
        <f>IF('TAR_Tab 2_Volumina'!C385="storage",1,0)</f>
        <v>0</v>
      </c>
      <c r="AC382" s="389">
        <f t="shared" si="82"/>
        <v>1.8623569727226039</v>
      </c>
      <c r="AD382" s="389">
        <f t="shared" si="84"/>
        <v>1.9876770722211816</v>
      </c>
      <c r="AE382" s="43"/>
      <c r="AF382" s="1027">
        <f t="shared" si="85"/>
        <v>1.9876770722211816</v>
      </c>
      <c r="AG382" s="392">
        <f t="shared" si="86"/>
        <v>1.988</v>
      </c>
      <c r="AH382" s="392">
        <f>AG382+'TAR_Tab 14_Overige tarieven'!$AA$14+'TAR_Tab 14_Overige tarieven'!$AA$15</f>
        <v>2.1680000000000001</v>
      </c>
      <c r="AI382" s="43"/>
    </row>
    <row r="383" spans="1:35">
      <c r="A383" s="96">
        <v>301040</v>
      </c>
      <c r="B383" s="1286" t="s">
        <v>224</v>
      </c>
      <c r="C383" s="1022"/>
      <c r="D383" s="1358"/>
      <c r="E383" s="1022"/>
      <c r="F383" s="1032">
        <v>1.8534113892313402</v>
      </c>
      <c r="G383" s="390">
        <f t="shared" si="89"/>
        <v>1.7637062779925434</v>
      </c>
      <c r="H383" s="390">
        <f t="shared" si="90"/>
        <v>1.8049258671485353</v>
      </c>
      <c r="I383" s="387"/>
      <c r="J383" s="388">
        <f t="shared" si="91"/>
        <v>1.7146795737911085</v>
      </c>
      <c r="K383" s="388">
        <f t="shared" si="92"/>
        <v>1.8951721605059622</v>
      </c>
      <c r="L383" s="1316">
        <v>1.8188803249596279</v>
      </c>
      <c r="M383" s="61" t="b">
        <f t="shared" si="93"/>
        <v>1</v>
      </c>
      <c r="N383" s="857">
        <f t="shared" si="81"/>
        <v>1.8188803249596279</v>
      </c>
      <c r="O383" s="15"/>
      <c r="P383" s="445">
        <f t="shared" si="87"/>
        <v>-8.4355774996082447E-2</v>
      </c>
      <c r="Q383" s="445">
        <f t="shared" si="94"/>
        <v>8.7285749314416766E-2</v>
      </c>
      <c r="R383" s="445">
        <f t="shared" si="95"/>
        <v>0</v>
      </c>
      <c r="S383" s="445">
        <f t="shared" si="95"/>
        <v>3.2882725661968044E-3</v>
      </c>
      <c r="T383" s="445">
        <f t="shared" si="95"/>
        <v>7.6155768439989946E-2</v>
      </c>
      <c r="U383" s="445">
        <f t="shared" si="95"/>
        <v>-9.9665507584902838E-3</v>
      </c>
      <c r="V383" s="445">
        <f t="shared" si="95"/>
        <v>-3.7495289247231785E-4</v>
      </c>
      <c r="W383" s="445">
        <f t="shared" si="95"/>
        <v>-3.1002030630030042E-2</v>
      </c>
      <c r="X383" s="445">
        <f t="shared" si="95"/>
        <v>2.4461667194474591E-3</v>
      </c>
      <c r="Y383" s="43"/>
      <c r="Z383" s="388">
        <f t="shared" si="83"/>
        <v>1.8623569727226039</v>
      </c>
      <c r="AA383" s="43"/>
      <c r="AB383" s="462">
        <f>IF('TAR_Tab 2_Volumina'!C386="storage",1,0)</f>
        <v>0</v>
      </c>
      <c r="AC383" s="389">
        <f t="shared" si="82"/>
        <v>1.8623569727226039</v>
      </c>
      <c r="AD383" s="389">
        <f t="shared" si="84"/>
        <v>1.9876770722211816</v>
      </c>
      <c r="AE383" s="43"/>
      <c r="AF383" s="1027">
        <f t="shared" si="85"/>
        <v>1.9876770722211816</v>
      </c>
      <c r="AG383" s="392">
        <f t="shared" si="86"/>
        <v>1.988</v>
      </c>
      <c r="AH383" s="392">
        <f>AG383+'TAR_Tab 14_Overige tarieven'!$AA$14+'TAR_Tab 14_Overige tarieven'!$AA$15</f>
        <v>2.1680000000000001</v>
      </c>
      <c r="AI383" s="43"/>
    </row>
    <row r="384" spans="1:35">
      <c r="A384" s="96">
        <v>301042</v>
      </c>
      <c r="B384" s="1286" t="s">
        <v>820</v>
      </c>
      <c r="C384" s="1022"/>
      <c r="D384" s="1358"/>
      <c r="E384" s="1022"/>
      <c r="F384" s="1032">
        <v>3.0183367861010151</v>
      </c>
      <c r="G384" s="390">
        <f t="shared" si="89"/>
        <v>2.8722492856537261</v>
      </c>
      <c r="H384" s="390">
        <f t="shared" si="90"/>
        <v>2.9393766395592715</v>
      </c>
      <c r="I384" s="387"/>
      <c r="J384" s="388">
        <f t="shared" si="91"/>
        <v>2.7924078075813079</v>
      </c>
      <c r="K384" s="388">
        <f t="shared" si="92"/>
        <v>3.0863454715372352</v>
      </c>
      <c r="L384" s="1316">
        <v>2.9621018982827456</v>
      </c>
      <c r="M384" s="61" t="b">
        <f t="shared" si="93"/>
        <v>1</v>
      </c>
      <c r="N384" s="857">
        <f t="shared" si="81"/>
        <v>2.9621018982827456</v>
      </c>
      <c r="O384" s="15"/>
      <c r="P384" s="445">
        <f t="shared" si="87"/>
        <v>-0.13737594377054693</v>
      </c>
      <c r="Q384" s="445">
        <f t="shared" si="94"/>
        <v>0.14214749601131926</v>
      </c>
      <c r="R384" s="445">
        <f t="shared" si="95"/>
        <v>0</v>
      </c>
      <c r="S384" s="445">
        <f t="shared" si="95"/>
        <v>5.3550518287226092E-3</v>
      </c>
      <c r="T384" s="445">
        <f t="shared" si="95"/>
        <v>0.1240219838357328</v>
      </c>
      <c r="U384" s="445">
        <f t="shared" si="95"/>
        <v>-1.623083086662707E-2</v>
      </c>
      <c r="V384" s="445">
        <f t="shared" si="95"/>
        <v>-6.1062218295396156E-4</v>
      </c>
      <c r="W384" s="445">
        <f t="shared" si="95"/>
        <v>-5.0487749259627679E-2</v>
      </c>
      <c r="X384" s="445">
        <f t="shared" si="95"/>
        <v>3.9836568595309997E-3</v>
      </c>
      <c r="Y384" s="43"/>
      <c r="Z384" s="388">
        <f t="shared" si="83"/>
        <v>3.0329049407382955</v>
      </c>
      <c r="AA384" s="43"/>
      <c r="AB384" s="462">
        <f>IF('TAR_Tab 2_Volumina'!C387="storage",1,0)</f>
        <v>0</v>
      </c>
      <c r="AC384" s="389">
        <f t="shared" si="82"/>
        <v>3.0329049407382955</v>
      </c>
      <c r="AD384" s="389">
        <f t="shared" si="84"/>
        <v>3.2369925321668074</v>
      </c>
      <c r="AE384" s="43"/>
      <c r="AF384" s="1027">
        <f t="shared" si="85"/>
        <v>3.2369925321668074</v>
      </c>
      <c r="AG384" s="392">
        <f t="shared" si="86"/>
        <v>3.2370000000000001</v>
      </c>
      <c r="AH384" s="392">
        <f>AG384+'TAR_Tab 14_Overige tarieven'!$AA$14+'TAR_Tab 14_Overige tarieven'!$AA$15</f>
        <v>3.4170000000000003</v>
      </c>
      <c r="AI384" s="43"/>
    </row>
    <row r="385" spans="1:35">
      <c r="A385" s="96">
        <v>301043</v>
      </c>
      <c r="B385" s="1286" t="s">
        <v>428</v>
      </c>
      <c r="C385" s="1022"/>
      <c r="D385" s="1358"/>
      <c r="E385" s="1022"/>
      <c r="F385" s="1032">
        <v>1.9652016405684138</v>
      </c>
      <c r="G385" s="390">
        <f t="shared" si="89"/>
        <v>1.8700858811649026</v>
      </c>
      <c r="H385" s="390">
        <f t="shared" si="90"/>
        <v>1.9137916686136924</v>
      </c>
      <c r="I385" s="387"/>
      <c r="J385" s="388">
        <f t="shared" si="91"/>
        <v>1.8181020851830076</v>
      </c>
      <c r="K385" s="388">
        <f t="shared" si="92"/>
        <v>2.009481252044377</v>
      </c>
      <c r="L385" s="1316">
        <v>1.9285878026738026</v>
      </c>
      <c r="M385" s="61" t="b">
        <f t="shared" si="93"/>
        <v>1</v>
      </c>
      <c r="N385" s="857">
        <f t="shared" si="81"/>
        <v>1.9285878026738026</v>
      </c>
      <c r="O385" s="15"/>
      <c r="P385" s="445">
        <f t="shared" si="87"/>
        <v>-8.9443772913510064E-2</v>
      </c>
      <c r="Q385" s="445">
        <f t="shared" si="94"/>
        <v>9.2550471388910024E-2</v>
      </c>
      <c r="R385" s="445">
        <f t="shared" si="95"/>
        <v>0</v>
      </c>
      <c r="S385" s="445">
        <f t="shared" si="95"/>
        <v>3.4866078191124546E-3</v>
      </c>
      <c r="T385" s="445">
        <f t="shared" si="95"/>
        <v>8.0749175248720745E-2</v>
      </c>
      <c r="U385" s="445">
        <f t="shared" si="95"/>
        <v>-1.0567692642439428E-2</v>
      </c>
      <c r="V385" s="445">
        <f t="shared" si="95"/>
        <v>-3.9756852887801988E-4</v>
      </c>
      <c r="W385" s="445">
        <f t="shared" si="95"/>
        <v>-3.2871947269275489E-2</v>
      </c>
      <c r="X385" s="445">
        <f t="shared" si="95"/>
        <v>2.5937095660967541E-3</v>
      </c>
      <c r="Y385" s="43"/>
      <c r="Z385" s="388">
        <f t="shared" si="83"/>
        <v>1.9746867853425396</v>
      </c>
      <c r="AA385" s="43"/>
      <c r="AB385" s="462">
        <f>IF('TAR_Tab 2_Volumina'!C388="storage",1,0)</f>
        <v>0</v>
      </c>
      <c r="AC385" s="389">
        <f t="shared" si="82"/>
        <v>1.9746867853425396</v>
      </c>
      <c r="AD385" s="389">
        <f t="shared" si="84"/>
        <v>2.1075656845236548</v>
      </c>
      <c r="AE385" s="43"/>
      <c r="AF385" s="1027">
        <f t="shared" si="85"/>
        <v>2.1075656845236548</v>
      </c>
      <c r="AG385" s="392">
        <f t="shared" si="86"/>
        <v>2.1080000000000001</v>
      </c>
      <c r="AH385" s="392">
        <f>AG385+'TAR_Tab 14_Overige tarieven'!$AA$14+'TAR_Tab 14_Overige tarieven'!$AA$15</f>
        <v>2.2880000000000003</v>
      </c>
      <c r="AI385" s="43"/>
    </row>
    <row r="386" spans="1:35">
      <c r="A386" s="96">
        <v>301045</v>
      </c>
      <c r="B386" s="1286" t="s">
        <v>821</v>
      </c>
      <c r="C386" s="1022"/>
      <c r="D386" s="1358"/>
      <c r="E386" s="1022"/>
      <c r="F386" s="1032">
        <v>2.2145116455344298</v>
      </c>
      <c r="G386" s="390">
        <f t="shared" si="89"/>
        <v>2.1073292818905633</v>
      </c>
      <c r="H386" s="390">
        <f t="shared" si="90"/>
        <v>2.1565796861669426</v>
      </c>
      <c r="I386" s="387"/>
      <c r="J386" s="388">
        <f t="shared" si="91"/>
        <v>2.0487507018585953</v>
      </c>
      <c r="K386" s="388">
        <f t="shared" si="92"/>
        <v>2.2644086704752899</v>
      </c>
      <c r="L386" s="1316">
        <v>2.1732528918617664</v>
      </c>
      <c r="M386" s="61" t="b">
        <f t="shared" si="93"/>
        <v>1</v>
      </c>
      <c r="N386" s="857">
        <f t="shared" si="81"/>
        <v>2.1732528918617664</v>
      </c>
      <c r="O386" s="15"/>
      <c r="P386" s="445">
        <f t="shared" si="87"/>
        <v>-0.10079081588809082</v>
      </c>
      <c r="Q386" s="445">
        <f t="shared" si="94"/>
        <v>0.10429163728520066</v>
      </c>
      <c r="R386" s="445">
        <f t="shared" si="95"/>
        <v>0</v>
      </c>
      <c r="S386" s="445">
        <f t="shared" si="95"/>
        <v>3.9289269149005365E-3</v>
      </c>
      <c r="T386" s="445">
        <f t="shared" si="95"/>
        <v>9.0993201544382396E-2</v>
      </c>
      <c r="U386" s="445">
        <f t="shared" si="95"/>
        <v>-1.1908334462992694E-2</v>
      </c>
      <c r="V386" s="445">
        <f t="shared" si="95"/>
        <v>-4.4800498784629256E-4</v>
      </c>
      <c r="W386" s="445">
        <f t="shared" si="95"/>
        <v>-3.7042158186957858E-2</v>
      </c>
      <c r="X386" s="445">
        <f t="shared" si="95"/>
        <v>2.9227535336241533E-3</v>
      </c>
      <c r="Y386" s="43"/>
      <c r="Z386" s="388">
        <f t="shared" si="83"/>
        <v>2.2252000976139863</v>
      </c>
      <c r="AA386" s="43"/>
      <c r="AB386" s="462">
        <f>IF('TAR_Tab 2_Volumina'!C389="storage",1,0)</f>
        <v>0</v>
      </c>
      <c r="AC386" s="389">
        <f t="shared" si="82"/>
        <v>2.2252000976139863</v>
      </c>
      <c r="AD386" s="389">
        <f t="shared" si="84"/>
        <v>2.3749363198966331</v>
      </c>
      <c r="AE386" s="43"/>
      <c r="AF386" s="1027">
        <f t="shared" si="85"/>
        <v>2.3749363198966331</v>
      </c>
      <c r="AG386" s="392">
        <f t="shared" si="86"/>
        <v>2.375</v>
      </c>
      <c r="AH386" s="392">
        <f>AG386+'TAR_Tab 14_Overige tarieven'!$AA$14+'TAR_Tab 14_Overige tarieven'!$AA$15</f>
        <v>2.5550000000000002</v>
      </c>
      <c r="AI386" s="43"/>
    </row>
    <row r="387" spans="1:35">
      <c r="A387" s="96">
        <v>301046</v>
      </c>
      <c r="B387" s="1286" t="s">
        <v>314</v>
      </c>
      <c r="C387" s="1022"/>
      <c r="D387" s="1358"/>
      <c r="E387" s="1022"/>
      <c r="F387" s="1032">
        <v>3.4017064703262272</v>
      </c>
      <c r="G387" s="390">
        <f t="shared" si="89"/>
        <v>3.2370638771624378</v>
      </c>
      <c r="H387" s="390">
        <f t="shared" si="90"/>
        <v>3.3127173148993658</v>
      </c>
      <c r="I387" s="387"/>
      <c r="J387" s="388">
        <f t="shared" si="91"/>
        <v>3.1470814491543972</v>
      </c>
      <c r="K387" s="388">
        <f t="shared" si="92"/>
        <v>3.4783531806443344</v>
      </c>
      <c r="L387" s="1316">
        <v>3.3383289895128332</v>
      </c>
      <c r="M387" s="61" t="b">
        <f t="shared" si="93"/>
        <v>1</v>
      </c>
      <c r="N387" s="857">
        <f t="shared" si="81"/>
        <v>3.3383289895128332</v>
      </c>
      <c r="O387" s="15"/>
      <c r="P387" s="445">
        <f t="shared" si="87"/>
        <v>-0.15482455070731188</v>
      </c>
      <c r="Q387" s="445">
        <f t="shared" si="94"/>
        <v>0.1602021547592116</v>
      </c>
      <c r="R387" s="445">
        <f t="shared" si="95"/>
        <v>0</v>
      </c>
      <c r="S387" s="445">
        <f t="shared" si="95"/>
        <v>6.0352159966314458E-3</v>
      </c>
      <c r="T387" s="445">
        <f t="shared" si="95"/>
        <v>0.13977445685300263</v>
      </c>
      <c r="U387" s="445">
        <f t="shared" si="95"/>
        <v>-1.8292366389337754E-2</v>
      </c>
      <c r="V387" s="445">
        <f t="shared" si="95"/>
        <v>-6.8817947693717023E-4</v>
      </c>
      <c r="W387" s="445">
        <f t="shared" si="95"/>
        <v>-5.6900377757558775E-2</v>
      </c>
      <c r="X387" s="445">
        <f t="shared" si="95"/>
        <v>4.4896352776229052E-3</v>
      </c>
      <c r="Y387" s="43"/>
      <c r="Z387" s="388">
        <f t="shared" si="83"/>
        <v>3.4181249780681564</v>
      </c>
      <c r="AA387" s="43"/>
      <c r="AB387" s="462">
        <f>IF('TAR_Tab 2_Volumina'!C390="storage",1,0)</f>
        <v>0</v>
      </c>
      <c r="AC387" s="389">
        <f t="shared" si="82"/>
        <v>3.4181249780681564</v>
      </c>
      <c r="AD387" s="389">
        <f t="shared" si="84"/>
        <v>3.6481344599366352</v>
      </c>
      <c r="AE387" s="43"/>
      <c r="AF387" s="1027">
        <f t="shared" si="85"/>
        <v>3.6481344599366352</v>
      </c>
      <c r="AG387" s="392">
        <f t="shared" si="86"/>
        <v>3.6480000000000001</v>
      </c>
      <c r="AH387" s="392">
        <f>AG387+'TAR_Tab 14_Overige tarieven'!$AA$14+'TAR_Tab 14_Overige tarieven'!$AA$15</f>
        <v>3.8280000000000003</v>
      </c>
      <c r="AI387" s="43"/>
    </row>
    <row r="388" spans="1:35">
      <c r="A388" s="96">
        <v>301049</v>
      </c>
      <c r="B388" s="1286" t="s">
        <v>315</v>
      </c>
      <c r="C388" s="1022"/>
      <c r="D388" s="1358"/>
      <c r="E388" s="1022"/>
      <c r="F388" s="1032">
        <v>3.4017064703262272</v>
      </c>
      <c r="G388" s="390">
        <f t="shared" ref="G388:G451" si="96">F388*$G$5</f>
        <v>3.2370638771624378</v>
      </c>
      <c r="H388" s="390">
        <f t="shared" ref="H388:H451" si="97">G388*$H$5</f>
        <v>3.3127173148993658</v>
      </c>
      <c r="I388" s="387"/>
      <c r="J388" s="388">
        <f t="shared" ref="J388:J451" si="98">H388*$J$5</f>
        <v>3.1470814491543972</v>
      </c>
      <c r="K388" s="388">
        <f t="shared" ref="K388:K451" si="99">H388*$K$5</f>
        <v>3.4783531806443344</v>
      </c>
      <c r="L388" s="1316">
        <v>3.3383289895128332</v>
      </c>
      <c r="M388" s="61" t="b">
        <f t="shared" ref="M388:M438" si="100">IF(L388&gt;0,AND(L388&gt;=J388,L388&lt;=K388),"")</f>
        <v>1</v>
      </c>
      <c r="N388" s="857">
        <f t="shared" si="81"/>
        <v>3.3383289895128332</v>
      </c>
      <c r="O388" s="15"/>
      <c r="P388" s="445">
        <f t="shared" si="87"/>
        <v>-0.15482455070731188</v>
      </c>
      <c r="Q388" s="445">
        <f t="shared" si="94"/>
        <v>0.1602021547592116</v>
      </c>
      <c r="R388" s="445">
        <f t="shared" si="95"/>
        <v>0</v>
      </c>
      <c r="S388" s="445">
        <f t="shared" si="95"/>
        <v>6.0352159966314458E-3</v>
      </c>
      <c r="T388" s="445">
        <f t="shared" si="95"/>
        <v>0.13977445685300263</v>
      </c>
      <c r="U388" s="445">
        <f t="shared" si="95"/>
        <v>-1.8292366389337754E-2</v>
      </c>
      <c r="V388" s="445">
        <f t="shared" si="95"/>
        <v>-6.8817947693717023E-4</v>
      </c>
      <c r="W388" s="445">
        <f t="shared" si="95"/>
        <v>-5.6900377757558775E-2</v>
      </c>
      <c r="X388" s="445">
        <f t="shared" si="95"/>
        <v>4.4896352776229052E-3</v>
      </c>
      <c r="Y388" s="43"/>
      <c r="Z388" s="388">
        <f t="shared" si="83"/>
        <v>3.4181249780681564</v>
      </c>
      <c r="AA388" s="43"/>
      <c r="AB388" s="462">
        <f>IF('TAR_Tab 2_Volumina'!C391="storage",1,0)</f>
        <v>0</v>
      </c>
      <c r="AC388" s="389">
        <f t="shared" si="82"/>
        <v>3.4181249780681564</v>
      </c>
      <c r="AD388" s="389">
        <f t="shared" si="84"/>
        <v>3.6481344599366352</v>
      </c>
      <c r="AE388" s="43"/>
      <c r="AF388" s="1027">
        <f t="shared" si="85"/>
        <v>3.6481344599366352</v>
      </c>
      <c r="AG388" s="392">
        <f t="shared" si="86"/>
        <v>3.6480000000000001</v>
      </c>
      <c r="AH388" s="392">
        <f>AG388+'TAR_Tab 14_Overige tarieven'!$AA$14+'TAR_Tab 14_Overige tarieven'!$AA$15</f>
        <v>3.8280000000000003</v>
      </c>
      <c r="AI388" s="43"/>
    </row>
    <row r="389" spans="1:35">
      <c r="A389" s="96">
        <v>301050</v>
      </c>
      <c r="B389" s="1286" t="s">
        <v>225</v>
      </c>
      <c r="C389" s="1022"/>
      <c r="D389" s="1358"/>
      <c r="E389" s="1022"/>
      <c r="F389" s="1032">
        <v>3.0183367861010151</v>
      </c>
      <c r="G389" s="390">
        <f t="shared" si="96"/>
        <v>2.8722492856537261</v>
      </c>
      <c r="H389" s="390">
        <f t="shared" si="97"/>
        <v>2.9393766395592715</v>
      </c>
      <c r="I389" s="387"/>
      <c r="J389" s="388">
        <f t="shared" si="98"/>
        <v>2.7924078075813079</v>
      </c>
      <c r="K389" s="388">
        <f t="shared" si="99"/>
        <v>3.0863454715372352</v>
      </c>
      <c r="L389" s="1316">
        <v>2.9621018982827456</v>
      </c>
      <c r="M389" s="61" t="b">
        <f t="shared" si="100"/>
        <v>1</v>
      </c>
      <c r="N389" s="857">
        <f t="shared" si="81"/>
        <v>2.9621018982827456</v>
      </c>
      <c r="O389" s="15"/>
      <c r="P389" s="445">
        <f t="shared" si="87"/>
        <v>-0.13737594377054693</v>
      </c>
      <c r="Q389" s="445">
        <f t="shared" si="94"/>
        <v>0.14214749601131926</v>
      </c>
      <c r="R389" s="445">
        <f t="shared" si="95"/>
        <v>0</v>
      </c>
      <c r="S389" s="445">
        <f t="shared" si="95"/>
        <v>5.3550518287226092E-3</v>
      </c>
      <c r="T389" s="445">
        <f t="shared" si="95"/>
        <v>0.1240219838357328</v>
      </c>
      <c r="U389" s="445">
        <f t="shared" si="95"/>
        <v>-1.623083086662707E-2</v>
      </c>
      <c r="V389" s="445">
        <f t="shared" si="95"/>
        <v>-6.1062218295396156E-4</v>
      </c>
      <c r="W389" s="445">
        <f t="shared" si="95"/>
        <v>-5.0487749259627679E-2</v>
      </c>
      <c r="X389" s="445">
        <f t="shared" si="95"/>
        <v>3.9836568595309997E-3</v>
      </c>
      <c r="Y389" s="43"/>
      <c r="Z389" s="388">
        <f t="shared" si="83"/>
        <v>3.0329049407382955</v>
      </c>
      <c r="AA389" s="43"/>
      <c r="AB389" s="462">
        <f>IF('TAR_Tab 2_Volumina'!C392="storage",1,0)</f>
        <v>0</v>
      </c>
      <c r="AC389" s="389">
        <f t="shared" si="82"/>
        <v>3.0329049407382955</v>
      </c>
      <c r="AD389" s="389">
        <f t="shared" si="84"/>
        <v>3.2369925321668074</v>
      </c>
      <c r="AE389" s="43"/>
      <c r="AF389" s="1027">
        <f t="shared" si="85"/>
        <v>3.2369925321668074</v>
      </c>
      <c r="AG389" s="392">
        <f t="shared" si="86"/>
        <v>3.2370000000000001</v>
      </c>
      <c r="AH389" s="392">
        <f>AG389+'TAR_Tab 14_Overige tarieven'!$AA$14+'TAR_Tab 14_Overige tarieven'!$AA$15</f>
        <v>3.4170000000000003</v>
      </c>
      <c r="AI389" s="43"/>
    </row>
    <row r="390" spans="1:35">
      <c r="A390" s="96">
        <v>301051</v>
      </c>
      <c r="B390" s="1286" t="s">
        <v>226</v>
      </c>
      <c r="C390" s="1022"/>
      <c r="D390" s="1358"/>
      <c r="E390" s="1022"/>
      <c r="F390" s="1032">
        <v>3.1132697773158315</v>
      </c>
      <c r="G390" s="390">
        <f t="shared" si="96"/>
        <v>2.9625875200937455</v>
      </c>
      <c r="H390" s="390">
        <f t="shared" si="97"/>
        <v>3.0318261693749209</v>
      </c>
      <c r="I390" s="387"/>
      <c r="J390" s="388">
        <f t="shared" si="98"/>
        <v>2.8802348609061745</v>
      </c>
      <c r="K390" s="388">
        <f t="shared" si="99"/>
        <v>3.1834174778436672</v>
      </c>
      <c r="L390" s="1316">
        <v>3.0552661849130365</v>
      </c>
      <c r="M390" s="61" t="b">
        <f t="shared" si="100"/>
        <v>1</v>
      </c>
      <c r="N390" s="857">
        <f t="shared" si="81"/>
        <v>3.0552661849130365</v>
      </c>
      <c r="O390" s="15"/>
      <c r="P390" s="445">
        <f t="shared" si="87"/>
        <v>-0.14169670390677513</v>
      </c>
      <c r="Q390" s="445">
        <f t="shared" si="94"/>
        <v>0.14661833142378572</v>
      </c>
      <c r="R390" s="445">
        <f t="shared" si="95"/>
        <v>0</v>
      </c>
      <c r="S390" s="445">
        <f t="shared" si="95"/>
        <v>5.5234793847700261E-3</v>
      </c>
      <c r="T390" s="445">
        <f t="shared" si="95"/>
        <v>0.12792273406219465</v>
      </c>
      <c r="U390" s="445">
        <f t="shared" si="95"/>
        <v>-1.674132437125055E-2</v>
      </c>
      <c r="V390" s="445">
        <f t="shared" si="95"/>
        <v>-6.2982752498102589E-4</v>
      </c>
      <c r="W390" s="445">
        <f t="shared" si="95"/>
        <v>-5.2075694342161513E-2</v>
      </c>
      <c r="X390" s="445">
        <f t="shared" si="95"/>
        <v>4.1089511816855594E-3</v>
      </c>
      <c r="Y390" s="43"/>
      <c r="Z390" s="388">
        <f t="shared" si="83"/>
        <v>3.1282961308203041</v>
      </c>
      <c r="AA390" s="43"/>
      <c r="AB390" s="462">
        <f>IF('TAR_Tab 2_Volumina'!C393="storage",1,0)</f>
        <v>0</v>
      </c>
      <c r="AC390" s="389">
        <f t="shared" si="82"/>
        <v>3.1282961308203041</v>
      </c>
      <c r="AD390" s="389">
        <f t="shared" si="84"/>
        <v>3.3388027029316056</v>
      </c>
      <c r="AE390" s="43"/>
      <c r="AF390" s="1027">
        <f t="shared" si="85"/>
        <v>3.3388027029316056</v>
      </c>
      <c r="AG390" s="392">
        <f t="shared" si="86"/>
        <v>3.339</v>
      </c>
      <c r="AH390" s="392">
        <f>AG390+'TAR_Tab 14_Overige tarieven'!$AA$14+'TAR_Tab 14_Overige tarieven'!$AA$15</f>
        <v>3.5190000000000001</v>
      </c>
      <c r="AI390" s="43"/>
    </row>
    <row r="391" spans="1:35">
      <c r="A391" s="96">
        <v>301052</v>
      </c>
      <c r="B391" s="1286" t="s">
        <v>316</v>
      </c>
      <c r="C391" s="1022"/>
      <c r="D391" s="1358"/>
      <c r="E391" s="1022"/>
      <c r="F391" s="1032">
        <v>3.2797169966696131</v>
      </c>
      <c r="G391" s="390">
        <f t="shared" si="96"/>
        <v>3.120978694030804</v>
      </c>
      <c r="H391" s="390">
        <f t="shared" si="97"/>
        <v>3.1939191043121458</v>
      </c>
      <c r="I391" s="387"/>
      <c r="J391" s="388">
        <f t="shared" si="98"/>
        <v>3.0342231490965381</v>
      </c>
      <c r="K391" s="388">
        <f t="shared" si="99"/>
        <v>3.3536150595277534</v>
      </c>
      <c r="L391" s="1316">
        <v>3.2186123120523495</v>
      </c>
      <c r="M391" s="61" t="b">
        <f t="shared" si="100"/>
        <v>1</v>
      </c>
      <c r="N391" s="857">
        <f t="shared" ref="N391:N454" si="101">IF(L391&gt;0,L391,H391)</f>
        <v>3.2186123120523495</v>
      </c>
      <c r="O391" s="15"/>
      <c r="P391" s="445">
        <f t="shared" si="87"/>
        <v>-0.1492723475367381</v>
      </c>
      <c r="Q391" s="445">
        <f t="shared" si="94"/>
        <v>0.15445710394186188</v>
      </c>
      <c r="R391" s="445">
        <f t="shared" si="95"/>
        <v>0</v>
      </c>
      <c r="S391" s="445">
        <f t="shared" si="95"/>
        <v>5.8187855581866973E-3</v>
      </c>
      <c r="T391" s="445">
        <f t="shared" si="95"/>
        <v>0.13476196898231882</v>
      </c>
      <c r="U391" s="445">
        <f t="shared" si="95"/>
        <v>-1.7636379117292132E-2</v>
      </c>
      <c r="V391" s="445">
        <f t="shared" si="95"/>
        <v>-6.6350049510697183E-4</v>
      </c>
      <c r="W391" s="445">
        <f t="shared" si="95"/>
        <v>-5.4859858625747437E-2</v>
      </c>
      <c r="X391" s="445">
        <f t="shared" si="95"/>
        <v>4.3286313082313722E-3</v>
      </c>
      <c r="Y391" s="43"/>
      <c r="Z391" s="388">
        <f t="shared" si="83"/>
        <v>3.2955467160680638</v>
      </c>
      <c r="AA391" s="43"/>
      <c r="AB391" s="462">
        <f>IF('TAR_Tab 2_Volumina'!C394="storage",1,0)</f>
        <v>0</v>
      </c>
      <c r="AC391" s="389">
        <f t="shared" ref="AC391:AC454" si="102">IF(AB391=1,Z391*$AC$5,Z391)</f>
        <v>3.2955467160680638</v>
      </c>
      <c r="AD391" s="389">
        <f t="shared" si="84"/>
        <v>3.5173077685456096</v>
      </c>
      <c r="AE391" s="43"/>
      <c r="AF391" s="1027">
        <f t="shared" si="85"/>
        <v>3.5173077685456096</v>
      </c>
      <c r="AG391" s="392">
        <f t="shared" si="86"/>
        <v>3.5169999999999999</v>
      </c>
      <c r="AH391" s="392">
        <f>AG391+'TAR_Tab 14_Overige tarieven'!$AA$14+'TAR_Tab 14_Overige tarieven'!$AA$15</f>
        <v>3.6970000000000001</v>
      </c>
      <c r="AI391" s="43"/>
    </row>
    <row r="392" spans="1:35">
      <c r="A392" s="96">
        <v>301054</v>
      </c>
      <c r="B392" s="1286" t="s">
        <v>317</v>
      </c>
      <c r="C392" s="1022"/>
      <c r="D392" s="1358"/>
      <c r="E392" s="1022"/>
      <c r="F392" s="1032">
        <v>3.4017064703262272</v>
      </c>
      <c r="G392" s="390">
        <f t="shared" si="96"/>
        <v>3.2370638771624378</v>
      </c>
      <c r="H392" s="390">
        <f t="shared" si="97"/>
        <v>3.3127173148993658</v>
      </c>
      <c r="I392" s="387"/>
      <c r="J392" s="388">
        <f t="shared" si="98"/>
        <v>3.1470814491543972</v>
      </c>
      <c r="K392" s="388">
        <f t="shared" si="99"/>
        <v>3.4783531806443344</v>
      </c>
      <c r="L392" s="1316">
        <v>3.3383289895128332</v>
      </c>
      <c r="M392" s="61" t="b">
        <f t="shared" si="100"/>
        <v>1</v>
      </c>
      <c r="N392" s="857">
        <f t="shared" si="101"/>
        <v>3.3383289895128332</v>
      </c>
      <c r="O392" s="15"/>
      <c r="P392" s="445">
        <f t="shared" si="87"/>
        <v>-0.15482455070731188</v>
      </c>
      <c r="Q392" s="445">
        <f t="shared" si="94"/>
        <v>0.1602021547592116</v>
      </c>
      <c r="R392" s="445">
        <f t="shared" si="95"/>
        <v>0</v>
      </c>
      <c r="S392" s="445">
        <f t="shared" si="95"/>
        <v>6.0352159966314458E-3</v>
      </c>
      <c r="T392" s="445">
        <f t="shared" si="95"/>
        <v>0.13977445685300263</v>
      </c>
      <c r="U392" s="445">
        <f t="shared" si="95"/>
        <v>-1.8292366389337754E-2</v>
      </c>
      <c r="V392" s="445">
        <f t="shared" si="95"/>
        <v>-6.8817947693717023E-4</v>
      </c>
      <c r="W392" s="445">
        <f t="shared" si="95"/>
        <v>-5.6900377757558775E-2</v>
      </c>
      <c r="X392" s="445">
        <f t="shared" si="95"/>
        <v>4.4896352776229052E-3</v>
      </c>
      <c r="Y392" s="43"/>
      <c r="Z392" s="388">
        <f t="shared" ref="Z392:Z455" si="103">N392+SUM(P392:X392)</f>
        <v>3.4181249780681564</v>
      </c>
      <c r="AA392" s="43"/>
      <c r="AB392" s="462">
        <f>IF('TAR_Tab 2_Volumina'!C395="storage",1,0)</f>
        <v>0</v>
      </c>
      <c r="AC392" s="389">
        <f t="shared" si="102"/>
        <v>3.4181249780681564</v>
      </c>
      <c r="AD392" s="389">
        <f t="shared" ref="AD392:AD455" si="104">IF(AB392=0,AC392*(1+$AD$5),AC392)</f>
        <v>3.6481344599366352</v>
      </c>
      <c r="AE392" s="43"/>
      <c r="AF392" s="1027">
        <f t="shared" ref="AF392:AF455" si="105">AD392</f>
        <v>3.6481344599366352</v>
      </c>
      <c r="AG392" s="392">
        <f t="shared" ref="AG392:AG455" si="106">ROUND(AD392,3)</f>
        <v>3.6480000000000001</v>
      </c>
      <c r="AH392" s="392">
        <f>AG392+'TAR_Tab 14_Overige tarieven'!$AA$14+'TAR_Tab 14_Overige tarieven'!$AA$15</f>
        <v>3.8280000000000003</v>
      </c>
      <c r="AI392" s="43"/>
    </row>
    <row r="393" spans="1:35">
      <c r="A393" s="96">
        <v>301056</v>
      </c>
      <c r="B393" s="1286" t="s">
        <v>227</v>
      </c>
      <c r="C393" s="1022"/>
      <c r="D393" s="1358"/>
      <c r="E393" s="1022"/>
      <c r="F393" s="1032">
        <v>2.1818117337600897</v>
      </c>
      <c r="G393" s="390">
        <f t="shared" si="96"/>
        <v>2.0762120458461015</v>
      </c>
      <c r="H393" s="390">
        <f t="shared" si="97"/>
        <v>2.1247352090271647</v>
      </c>
      <c r="I393" s="387"/>
      <c r="J393" s="388">
        <f t="shared" si="98"/>
        <v>2.0184984485758064</v>
      </c>
      <c r="K393" s="388">
        <f t="shared" si="99"/>
        <v>2.2309719694785231</v>
      </c>
      <c r="L393" s="1316">
        <v>2.1411622149079954</v>
      </c>
      <c r="M393" s="61" t="b">
        <f t="shared" si="100"/>
        <v>1</v>
      </c>
      <c r="N393" s="857">
        <f t="shared" si="101"/>
        <v>2.1411622149079954</v>
      </c>
      <c r="O393" s="15"/>
      <c r="P393" s="445">
        <f t="shared" si="87"/>
        <v>-9.9302519001573913E-2</v>
      </c>
      <c r="Q393" s="445">
        <f t="shared" si="94"/>
        <v>0.10275164658571417</v>
      </c>
      <c r="R393" s="445">
        <f t="shared" si="95"/>
        <v>0</v>
      </c>
      <c r="S393" s="445">
        <f t="shared" si="95"/>
        <v>3.870911612183954E-3</v>
      </c>
      <c r="T393" s="445">
        <f t="shared" si="95"/>
        <v>8.9649578146164519E-2</v>
      </c>
      <c r="U393" s="445">
        <f t="shared" si="95"/>
        <v>-1.173249366888153E-2</v>
      </c>
      <c r="V393" s="445">
        <f t="shared" si="95"/>
        <v>-4.4138965863518663E-4</v>
      </c>
      <c r="W393" s="445">
        <f t="shared" si="95"/>
        <v>-3.6495186439445389E-2</v>
      </c>
      <c r="X393" s="445">
        <f t="shared" si="95"/>
        <v>2.8795955837075766E-3</v>
      </c>
      <c r="Y393" s="43"/>
      <c r="Z393" s="388">
        <f t="shared" si="103"/>
        <v>2.1923423580672297</v>
      </c>
      <c r="AA393" s="43"/>
      <c r="AB393" s="462">
        <f>IF('TAR_Tab 2_Volumina'!C396="storage",1,0)</f>
        <v>0</v>
      </c>
      <c r="AC393" s="389">
        <f t="shared" si="102"/>
        <v>2.1923423580672297</v>
      </c>
      <c r="AD393" s="389">
        <f t="shared" si="104"/>
        <v>2.3398675460263774</v>
      </c>
      <c r="AE393" s="43"/>
      <c r="AF393" s="1027">
        <f t="shared" si="105"/>
        <v>2.3398675460263774</v>
      </c>
      <c r="AG393" s="392">
        <f t="shared" si="106"/>
        <v>2.34</v>
      </c>
      <c r="AH393" s="392">
        <f>AG393+'TAR_Tab 14_Overige tarieven'!$AA$14+'TAR_Tab 14_Overige tarieven'!$AA$15</f>
        <v>2.52</v>
      </c>
      <c r="AI393" s="43"/>
    </row>
    <row r="394" spans="1:35">
      <c r="A394" s="96">
        <v>301059</v>
      </c>
      <c r="B394" s="1286" t="s">
        <v>228</v>
      </c>
      <c r="C394" s="1022"/>
      <c r="D394" s="1358"/>
      <c r="E394" s="1022"/>
      <c r="F394" s="1032">
        <v>2.2148088864704847</v>
      </c>
      <c r="G394" s="390">
        <f t="shared" si="96"/>
        <v>2.1076121363653133</v>
      </c>
      <c r="H394" s="390">
        <f t="shared" si="97"/>
        <v>2.1568691512351825</v>
      </c>
      <c r="I394" s="387"/>
      <c r="J394" s="388">
        <f t="shared" si="98"/>
        <v>2.0490256936734235</v>
      </c>
      <c r="K394" s="388">
        <f t="shared" si="99"/>
        <v>2.2647126087969416</v>
      </c>
      <c r="L394" s="1316">
        <v>2.1735445948768142</v>
      </c>
      <c r="M394" s="61" t="b">
        <f t="shared" si="100"/>
        <v>1</v>
      </c>
      <c r="N394" s="857">
        <f t="shared" si="101"/>
        <v>2.1735445948768142</v>
      </c>
      <c r="O394" s="15"/>
      <c r="P394" s="445">
        <f t="shared" ref="P394:P457" si="107">$N394*P$5</f>
        <v>-0.10080434444935205</v>
      </c>
      <c r="Q394" s="445">
        <f t="shared" si="94"/>
        <v>0.10430563574122678</v>
      </c>
      <c r="R394" s="445">
        <f t="shared" si="95"/>
        <v>0</v>
      </c>
      <c r="S394" s="445">
        <f t="shared" si="95"/>
        <v>3.9294542717632705E-3</v>
      </c>
      <c r="T394" s="445">
        <f t="shared" si="95"/>
        <v>9.1005415029218314E-2</v>
      </c>
      <c r="U394" s="445">
        <f t="shared" si="95"/>
        <v>-1.1909932849025015E-2</v>
      </c>
      <c r="V394" s="445">
        <f t="shared" si="95"/>
        <v>-4.4806512093351888E-4</v>
      </c>
      <c r="W394" s="445">
        <f t="shared" si="95"/>
        <v>-3.7047130139033692E-2</v>
      </c>
      <c r="X394" s="445">
        <f t="shared" si="95"/>
        <v>2.9231458377233185E-3</v>
      </c>
      <c r="Y394" s="43"/>
      <c r="Z394" s="388">
        <f t="shared" si="103"/>
        <v>2.2254987731984017</v>
      </c>
      <c r="AA394" s="43"/>
      <c r="AB394" s="462">
        <f>IF('TAR_Tab 2_Volumina'!C397="storage",1,0)</f>
        <v>0</v>
      </c>
      <c r="AC394" s="389">
        <f t="shared" si="102"/>
        <v>2.2254987731984017</v>
      </c>
      <c r="AD394" s="389">
        <f t="shared" si="104"/>
        <v>2.3752550936977199</v>
      </c>
      <c r="AE394" s="43"/>
      <c r="AF394" s="1027">
        <f t="shared" si="105"/>
        <v>2.3752550936977199</v>
      </c>
      <c r="AG394" s="392">
        <f t="shared" si="106"/>
        <v>2.375</v>
      </c>
      <c r="AH394" s="392">
        <f>AG394+'TAR_Tab 14_Overige tarieven'!$AA$14+'TAR_Tab 14_Overige tarieven'!$AA$15</f>
        <v>2.5550000000000002</v>
      </c>
      <c r="AI394" s="43"/>
    </row>
    <row r="395" spans="1:35">
      <c r="A395" s="96">
        <v>301060</v>
      </c>
      <c r="B395" s="1286" t="s">
        <v>822</v>
      </c>
      <c r="C395" s="1022"/>
      <c r="D395" s="1358"/>
      <c r="E395" s="1022"/>
      <c r="F395" s="1032">
        <v>2.2145116455344298</v>
      </c>
      <c r="G395" s="390">
        <f t="shared" si="96"/>
        <v>2.1073292818905633</v>
      </c>
      <c r="H395" s="390">
        <f t="shared" si="97"/>
        <v>2.1565796861669426</v>
      </c>
      <c r="I395" s="387"/>
      <c r="J395" s="388">
        <f t="shared" si="98"/>
        <v>2.0487507018585953</v>
      </c>
      <c r="K395" s="388">
        <f t="shared" si="99"/>
        <v>2.2644086704752899</v>
      </c>
      <c r="L395" s="1316">
        <v>2.1732528918617664</v>
      </c>
      <c r="M395" s="61" t="b">
        <f t="shared" si="100"/>
        <v>1</v>
      </c>
      <c r="N395" s="857">
        <f t="shared" si="101"/>
        <v>2.1732528918617664</v>
      </c>
      <c r="O395" s="15"/>
      <c r="P395" s="445">
        <f t="shared" si="107"/>
        <v>-0.10079081588809082</v>
      </c>
      <c r="Q395" s="445">
        <f t="shared" si="94"/>
        <v>0.10429163728520066</v>
      </c>
      <c r="R395" s="445">
        <f t="shared" si="95"/>
        <v>0</v>
      </c>
      <c r="S395" s="445">
        <f t="shared" si="95"/>
        <v>3.9289269149005365E-3</v>
      </c>
      <c r="T395" s="445">
        <f t="shared" si="95"/>
        <v>9.0993201544382396E-2</v>
      </c>
      <c r="U395" s="445">
        <f t="shared" si="95"/>
        <v>-1.1908334462992694E-2</v>
      </c>
      <c r="V395" s="445">
        <f t="shared" si="95"/>
        <v>-4.4800498784629256E-4</v>
      </c>
      <c r="W395" s="445">
        <f t="shared" si="95"/>
        <v>-3.7042158186957858E-2</v>
      </c>
      <c r="X395" s="445">
        <f t="shared" si="95"/>
        <v>2.9227535336241533E-3</v>
      </c>
      <c r="Y395" s="43"/>
      <c r="Z395" s="388">
        <f t="shared" si="103"/>
        <v>2.2252000976139863</v>
      </c>
      <c r="AA395" s="43"/>
      <c r="AB395" s="462">
        <f>IF('TAR_Tab 2_Volumina'!C398="storage",1,0)</f>
        <v>0</v>
      </c>
      <c r="AC395" s="389">
        <f t="shared" si="102"/>
        <v>2.2252000976139863</v>
      </c>
      <c r="AD395" s="389">
        <f t="shared" si="104"/>
        <v>2.3749363198966331</v>
      </c>
      <c r="AE395" s="43"/>
      <c r="AF395" s="1027">
        <f t="shared" si="105"/>
        <v>2.3749363198966331</v>
      </c>
      <c r="AG395" s="392">
        <f t="shared" si="106"/>
        <v>2.375</v>
      </c>
      <c r="AH395" s="392">
        <f>AG395+'TAR_Tab 14_Overige tarieven'!$AA$14+'TAR_Tab 14_Overige tarieven'!$AA$15</f>
        <v>2.5550000000000002</v>
      </c>
      <c r="AI395" s="43"/>
    </row>
    <row r="396" spans="1:35">
      <c r="A396" s="96">
        <v>301063</v>
      </c>
      <c r="B396" s="1286" t="s">
        <v>229</v>
      </c>
      <c r="C396" s="1022"/>
      <c r="D396" s="1358"/>
      <c r="E396" s="1022"/>
      <c r="F396" s="1032">
        <v>1.7025832723479857</v>
      </c>
      <c r="G396" s="390">
        <f t="shared" si="96"/>
        <v>1.6201782419663431</v>
      </c>
      <c r="H396" s="390">
        <f t="shared" si="97"/>
        <v>1.6580434366003061</v>
      </c>
      <c r="I396" s="387"/>
      <c r="J396" s="388">
        <f t="shared" si="98"/>
        <v>1.5751412647702907</v>
      </c>
      <c r="K396" s="388">
        <f t="shared" si="99"/>
        <v>1.7409456084303214</v>
      </c>
      <c r="L396" s="1316">
        <v>1.670862299472248</v>
      </c>
      <c r="M396" s="61" t="b">
        <f t="shared" si="100"/>
        <v>1</v>
      </c>
      <c r="N396" s="857">
        <f t="shared" si="101"/>
        <v>1.670862299472248</v>
      </c>
      <c r="O396" s="15"/>
      <c r="P396" s="445">
        <f t="shared" si="107"/>
        <v>-7.7491015901140353E-2</v>
      </c>
      <c r="Q396" s="445">
        <f t="shared" si="94"/>
        <v>8.0182552864703577E-2</v>
      </c>
      <c r="R396" s="445">
        <f t="shared" si="95"/>
        <v>0</v>
      </c>
      <c r="S396" s="445">
        <f t="shared" si="95"/>
        <v>3.0206773836915593E-3</v>
      </c>
      <c r="T396" s="445">
        <f t="shared" si="95"/>
        <v>6.9958314809162606E-2</v>
      </c>
      <c r="U396" s="445">
        <f t="shared" si="95"/>
        <v>-9.155486311892223E-3</v>
      </c>
      <c r="V396" s="445">
        <f t="shared" si="95"/>
        <v>-3.4443973224240212E-4</v>
      </c>
      <c r="W396" s="445">
        <f t="shared" si="95"/>
        <v>-2.8479127227873456E-2</v>
      </c>
      <c r="X396" s="445">
        <f t="shared" si="95"/>
        <v>2.2471009739682499E-3</v>
      </c>
      <c r="Y396" s="43"/>
      <c r="Z396" s="388">
        <f t="shared" si="103"/>
        <v>1.7108008763306255</v>
      </c>
      <c r="AA396" s="43"/>
      <c r="AB396" s="462">
        <f>IF('TAR_Tab 2_Volumina'!C399="storage",1,0)</f>
        <v>0</v>
      </c>
      <c r="AC396" s="389">
        <f t="shared" si="102"/>
        <v>1.7108008763306255</v>
      </c>
      <c r="AD396" s="389">
        <f t="shared" si="104"/>
        <v>1.8259225953051446</v>
      </c>
      <c r="AE396" s="43"/>
      <c r="AF396" s="1027">
        <f t="shared" si="105"/>
        <v>1.8259225953051446</v>
      </c>
      <c r="AG396" s="392">
        <f t="shared" si="106"/>
        <v>1.8260000000000001</v>
      </c>
      <c r="AH396" s="392">
        <f>AG396+'TAR_Tab 14_Overige tarieven'!$AA$14+'TAR_Tab 14_Overige tarieven'!$AA$15</f>
        <v>2.0060000000000002</v>
      </c>
      <c r="AI396" s="43"/>
    </row>
    <row r="397" spans="1:35">
      <c r="A397" s="96">
        <v>301064</v>
      </c>
      <c r="B397" s="1286" t="s">
        <v>230</v>
      </c>
      <c r="C397" s="1022"/>
      <c r="D397" s="1358"/>
      <c r="E397" s="1022"/>
      <c r="F397" s="1032">
        <v>2.2872640313252242</v>
      </c>
      <c r="G397" s="390">
        <f t="shared" si="96"/>
        <v>2.1765604522090833</v>
      </c>
      <c r="H397" s="390">
        <f t="shared" si="97"/>
        <v>2.2274288585490294</v>
      </c>
      <c r="I397" s="387"/>
      <c r="J397" s="388">
        <f t="shared" si="98"/>
        <v>2.1160574156215777</v>
      </c>
      <c r="K397" s="388">
        <f t="shared" si="99"/>
        <v>2.3388003014764811</v>
      </c>
      <c r="L397" s="1316">
        <v>2.2446498218027378</v>
      </c>
      <c r="M397" s="61" t="b">
        <f t="shared" si="100"/>
        <v>1</v>
      </c>
      <c r="N397" s="857">
        <f t="shared" si="101"/>
        <v>2.2446498218027378</v>
      </c>
      <c r="O397" s="15"/>
      <c r="P397" s="445">
        <f t="shared" si="107"/>
        <v>-0.10410205262800405</v>
      </c>
      <c r="Q397" s="445">
        <f t="shared" si="94"/>
        <v>0.10771788498447409</v>
      </c>
      <c r="R397" s="445">
        <f t="shared" si="95"/>
        <v>0</v>
      </c>
      <c r="S397" s="445">
        <f t="shared" si="95"/>
        <v>4.0580022382265962E-3</v>
      </c>
      <c r="T397" s="445">
        <f t="shared" si="95"/>
        <v>9.3982561531016751E-2</v>
      </c>
      <c r="U397" s="445">
        <f t="shared" si="95"/>
        <v>-1.2299553784292934E-2</v>
      </c>
      <c r="V397" s="445">
        <f t="shared" si="95"/>
        <v>-4.6272310042778128E-4</v>
      </c>
      <c r="W397" s="445">
        <f t="shared" si="95"/>
        <v>-3.8259088063292208E-2</v>
      </c>
      <c r="X397" s="445">
        <f t="shared" si="95"/>
        <v>3.0187734814435363E-3</v>
      </c>
      <c r="Y397" s="43"/>
      <c r="Z397" s="388">
        <f t="shared" si="103"/>
        <v>2.2983036264618817</v>
      </c>
      <c r="AA397" s="43"/>
      <c r="AB397" s="462">
        <f>IF('TAR_Tab 2_Volumina'!C400="storage",1,0)</f>
        <v>0</v>
      </c>
      <c r="AC397" s="389">
        <f t="shared" si="102"/>
        <v>2.2983036264618817</v>
      </c>
      <c r="AD397" s="389">
        <f t="shared" si="104"/>
        <v>2.452959067585545</v>
      </c>
      <c r="AE397" s="43"/>
      <c r="AF397" s="1027">
        <f t="shared" si="105"/>
        <v>2.452959067585545</v>
      </c>
      <c r="AG397" s="392">
        <f t="shared" si="106"/>
        <v>2.4529999999999998</v>
      </c>
      <c r="AH397" s="392">
        <f>AG397+'TAR_Tab 14_Overige tarieven'!$AA$14+'TAR_Tab 14_Overige tarieven'!$AA$15</f>
        <v>2.633</v>
      </c>
      <c r="AI397" s="43"/>
    </row>
    <row r="398" spans="1:35">
      <c r="A398" s="96">
        <v>301065</v>
      </c>
      <c r="B398" s="1286" t="s">
        <v>823</v>
      </c>
      <c r="C398" s="1022"/>
      <c r="D398" s="1358"/>
      <c r="E398" s="1022"/>
      <c r="F398" s="1032">
        <v>2.2145116455344298</v>
      </c>
      <c r="G398" s="390">
        <f t="shared" si="96"/>
        <v>2.1073292818905633</v>
      </c>
      <c r="H398" s="390">
        <f t="shared" si="97"/>
        <v>2.1565796861669426</v>
      </c>
      <c r="I398" s="387"/>
      <c r="J398" s="388">
        <f t="shared" si="98"/>
        <v>2.0487507018585953</v>
      </c>
      <c r="K398" s="388">
        <f t="shared" si="99"/>
        <v>2.2644086704752899</v>
      </c>
      <c r="L398" s="1316">
        <v>2.1732528918617664</v>
      </c>
      <c r="M398" s="61" t="b">
        <f t="shared" si="100"/>
        <v>1</v>
      </c>
      <c r="N398" s="857">
        <f t="shared" si="101"/>
        <v>2.1732528918617664</v>
      </c>
      <c r="O398" s="15"/>
      <c r="P398" s="445">
        <f t="shared" si="107"/>
        <v>-0.10079081588809082</v>
      </c>
      <c r="Q398" s="445">
        <f t="shared" si="94"/>
        <v>0.10429163728520066</v>
      </c>
      <c r="R398" s="445">
        <f t="shared" si="95"/>
        <v>0</v>
      </c>
      <c r="S398" s="445">
        <f t="shared" si="95"/>
        <v>3.9289269149005365E-3</v>
      </c>
      <c r="T398" s="445">
        <f t="shared" si="95"/>
        <v>9.0993201544382396E-2</v>
      </c>
      <c r="U398" s="445">
        <f t="shared" si="95"/>
        <v>-1.1908334462992694E-2</v>
      </c>
      <c r="V398" s="445">
        <f t="shared" si="95"/>
        <v>-4.4800498784629256E-4</v>
      </c>
      <c r="W398" s="445">
        <f t="shared" si="95"/>
        <v>-3.7042158186957858E-2</v>
      </c>
      <c r="X398" s="445">
        <f t="shared" si="95"/>
        <v>2.9227535336241533E-3</v>
      </c>
      <c r="Y398" s="43"/>
      <c r="Z398" s="388">
        <f t="shared" si="103"/>
        <v>2.2252000976139863</v>
      </c>
      <c r="AA398" s="43"/>
      <c r="AB398" s="462">
        <f>IF('TAR_Tab 2_Volumina'!C401="storage",1,0)</f>
        <v>0</v>
      </c>
      <c r="AC398" s="389">
        <f t="shared" si="102"/>
        <v>2.2252000976139863</v>
      </c>
      <c r="AD398" s="389">
        <f t="shared" si="104"/>
        <v>2.3749363198966331</v>
      </c>
      <c r="AE398" s="43"/>
      <c r="AF398" s="1027">
        <f t="shared" si="105"/>
        <v>2.3749363198966331</v>
      </c>
      <c r="AG398" s="392">
        <f t="shared" si="106"/>
        <v>2.375</v>
      </c>
      <c r="AH398" s="392">
        <f>AG398+'TAR_Tab 14_Overige tarieven'!$AA$14+'TAR_Tab 14_Overige tarieven'!$AA$15</f>
        <v>2.5550000000000002</v>
      </c>
      <c r="AI398" s="43"/>
    </row>
    <row r="399" spans="1:35">
      <c r="A399" s="96">
        <v>301080</v>
      </c>
      <c r="B399" s="1286" t="s">
        <v>433</v>
      </c>
      <c r="C399" s="1022"/>
      <c r="D399" s="1358"/>
      <c r="E399" s="1022"/>
      <c r="F399" s="1032">
        <v>0.3270209620329807</v>
      </c>
      <c r="G399" s="390">
        <f t="shared" si="96"/>
        <v>0.31119314747058441</v>
      </c>
      <c r="H399" s="390">
        <f t="shared" si="97"/>
        <v>0.31846604423744151</v>
      </c>
      <c r="I399" s="387"/>
      <c r="J399" s="388">
        <f t="shared" si="98"/>
        <v>0.30254274202556941</v>
      </c>
      <c r="K399" s="388">
        <f t="shared" si="99"/>
        <v>0.33438934644931362</v>
      </c>
      <c r="L399" s="1316">
        <v>0.32092820684448403</v>
      </c>
      <c r="M399" s="61" t="b">
        <f t="shared" si="100"/>
        <v>1</v>
      </c>
      <c r="N399" s="857">
        <f t="shared" si="101"/>
        <v>0.32092820684448403</v>
      </c>
      <c r="O399" s="15"/>
      <c r="P399" s="445">
        <f t="shared" si="107"/>
        <v>-1.4883963081556999E-2</v>
      </c>
      <c r="Q399" s="445">
        <f t="shared" si="94"/>
        <v>1.5400935743903157E-2</v>
      </c>
      <c r="R399" s="445">
        <f t="shared" si="95"/>
        <v>0</v>
      </c>
      <c r="S399" s="445">
        <f t="shared" si="95"/>
        <v>5.8019178271603649E-4</v>
      </c>
      <c r="T399" s="445">
        <f t="shared" si="95"/>
        <v>1.3437131553364956E-2</v>
      </c>
      <c r="U399" s="445">
        <f t="shared" si="95"/>
        <v>-1.7585254067871751E-3</v>
      </c>
      <c r="V399" s="445">
        <f t="shared" si="95"/>
        <v>-6.6157711302399478E-5</v>
      </c>
      <c r="W399" s="445">
        <f t="shared" si="95"/>
        <v>-5.4700828647723972E-3</v>
      </c>
      <c r="X399" s="445">
        <f t="shared" si="95"/>
        <v>4.3160832966421367E-4</v>
      </c>
      <c r="Y399" s="43"/>
      <c r="Z399" s="388">
        <f t="shared" si="103"/>
        <v>0.3285993451897134</v>
      </c>
      <c r="AA399" s="43"/>
      <c r="AB399" s="462">
        <f>IF('TAR_Tab 2_Volumina'!C402="storage",1,0)</f>
        <v>0</v>
      </c>
      <c r="AC399" s="389">
        <f t="shared" si="102"/>
        <v>0.3285993451897134</v>
      </c>
      <c r="AD399" s="389">
        <f t="shared" si="104"/>
        <v>0.35071116544624598</v>
      </c>
      <c r="AE399" s="43"/>
      <c r="AF399" s="1027">
        <f t="shared" si="105"/>
        <v>0.35071116544624598</v>
      </c>
      <c r="AG399" s="392">
        <f t="shared" si="106"/>
        <v>0.35099999999999998</v>
      </c>
      <c r="AH399" s="392">
        <f>AG399+'TAR_Tab 14_Overige tarieven'!$AA$14+'TAR_Tab 14_Overige tarieven'!$AA$15</f>
        <v>0.53099999999999992</v>
      </c>
      <c r="AI399" s="43"/>
    </row>
    <row r="400" spans="1:35">
      <c r="A400" s="96">
        <v>301097</v>
      </c>
      <c r="B400" s="1286" t="s">
        <v>440</v>
      </c>
      <c r="C400" s="1022"/>
      <c r="D400" s="1358"/>
      <c r="E400" s="1022"/>
      <c r="F400" s="1032">
        <v>1.2246655179007104</v>
      </c>
      <c r="G400" s="390">
        <f t="shared" si="96"/>
        <v>1.165391706834316</v>
      </c>
      <c r="H400" s="390">
        <f t="shared" si="97"/>
        <v>1.192628082845965</v>
      </c>
      <c r="I400" s="387"/>
      <c r="J400" s="388">
        <f t="shared" si="98"/>
        <v>1.1329966787036667</v>
      </c>
      <c r="K400" s="388">
        <f t="shared" si="99"/>
        <v>1.2522594869882633</v>
      </c>
      <c r="L400" s="1316">
        <v>1.2018486711090666</v>
      </c>
      <c r="M400" s="61" t="b">
        <f t="shared" si="100"/>
        <v>1</v>
      </c>
      <c r="N400" s="857">
        <f t="shared" si="101"/>
        <v>1.2018486711090666</v>
      </c>
      <c r="O400" s="15"/>
      <c r="P400" s="445">
        <f t="shared" si="107"/>
        <v>-5.5739168041013046E-2</v>
      </c>
      <c r="Q400" s="445">
        <f t="shared" si="94"/>
        <v>5.767518642141526E-2</v>
      </c>
      <c r="R400" s="445">
        <f t="shared" si="95"/>
        <v>0</v>
      </c>
      <c r="S400" s="445">
        <f t="shared" si="95"/>
        <v>2.1727685761930206E-3</v>
      </c>
      <c r="T400" s="445">
        <f t="shared" si="95"/>
        <v>5.0320907780957637E-2</v>
      </c>
      <c r="U400" s="445">
        <f t="shared" si="95"/>
        <v>-6.5855271621009358E-3</v>
      </c>
      <c r="V400" s="445">
        <f t="shared" si="95"/>
        <v>-2.4775496736232955E-4</v>
      </c>
      <c r="W400" s="445">
        <f t="shared" si="95"/>
        <v>-2.0484992224659535E-2</v>
      </c>
      <c r="X400" s="445">
        <f t="shared" si="95"/>
        <v>1.6163362595856374E-3</v>
      </c>
      <c r="Y400" s="43"/>
      <c r="Z400" s="388">
        <f t="shared" si="103"/>
        <v>1.2305764277520823</v>
      </c>
      <c r="AA400" s="43"/>
      <c r="AB400" s="462">
        <f>IF('TAR_Tab 2_Volumina'!C403="storage",1,0)</f>
        <v>0</v>
      </c>
      <c r="AC400" s="389">
        <f t="shared" si="102"/>
        <v>1.2305764277520823</v>
      </c>
      <c r="AD400" s="389">
        <f t="shared" si="104"/>
        <v>1.313383302387424</v>
      </c>
      <c r="AE400" s="43"/>
      <c r="AF400" s="1027">
        <f t="shared" si="105"/>
        <v>1.313383302387424</v>
      </c>
      <c r="AG400" s="392">
        <f t="shared" si="106"/>
        <v>1.3129999999999999</v>
      </c>
      <c r="AH400" s="392">
        <f>AG400+'TAR_Tab 14_Overige tarieven'!$AA$14+'TAR_Tab 14_Overige tarieven'!$AA$15</f>
        <v>1.4929999999999999</v>
      </c>
      <c r="AI400" s="43"/>
    </row>
    <row r="401" spans="1:35">
      <c r="A401" s="96">
        <v>301111</v>
      </c>
      <c r="B401" s="1286" t="s">
        <v>45</v>
      </c>
      <c r="C401" s="1022"/>
      <c r="D401" s="1358"/>
      <c r="E401" s="1022"/>
      <c r="F401" s="1032">
        <v>2.0846200817412575</v>
      </c>
      <c r="G401" s="390">
        <f t="shared" si="96"/>
        <v>1.9837244697849805</v>
      </c>
      <c r="H401" s="390">
        <f t="shared" si="97"/>
        <v>2.0300861053155259</v>
      </c>
      <c r="I401" s="387"/>
      <c r="J401" s="388">
        <f t="shared" si="98"/>
        <v>1.9285818000497494</v>
      </c>
      <c r="K401" s="388">
        <f t="shared" si="99"/>
        <v>2.1315904105813024</v>
      </c>
      <c r="L401" s="1316">
        <v>2.045781348774065</v>
      </c>
      <c r="M401" s="61" t="b">
        <f t="shared" si="100"/>
        <v>1</v>
      </c>
      <c r="N401" s="857">
        <f t="shared" si="101"/>
        <v>2.045781348774065</v>
      </c>
      <c r="O401" s="15"/>
      <c r="P401" s="445">
        <f t="shared" si="107"/>
        <v>-9.4878958653971668E-2</v>
      </c>
      <c r="Q401" s="445">
        <f t="shared" si="94"/>
        <v>9.8174440347066794E-2</v>
      </c>
      <c r="R401" s="445">
        <f t="shared" si="95"/>
        <v>0</v>
      </c>
      <c r="S401" s="445">
        <f t="shared" si="95"/>
        <v>3.6984768009737912E-3</v>
      </c>
      <c r="T401" s="445">
        <f t="shared" si="95"/>
        <v>8.5656020650806755E-2</v>
      </c>
      <c r="U401" s="445">
        <f t="shared" si="95"/>
        <v>-1.1209854421720679E-2</v>
      </c>
      <c r="V401" s="445">
        <f t="shared" si="95"/>
        <v>-4.2172738006046736E-4</v>
      </c>
      <c r="W401" s="445">
        <f t="shared" si="95"/>
        <v>-3.4869460715314236E-2</v>
      </c>
      <c r="X401" s="445">
        <f t="shared" si="95"/>
        <v>2.7513202391413684E-3</v>
      </c>
      <c r="Y401" s="43"/>
      <c r="Z401" s="388">
        <f t="shared" si="103"/>
        <v>2.0946816056409867</v>
      </c>
      <c r="AA401" s="43"/>
      <c r="AB401" s="462">
        <f>IF('TAR_Tab 2_Volumina'!C404="storage",1,0)</f>
        <v>0</v>
      </c>
      <c r="AC401" s="389">
        <f t="shared" si="102"/>
        <v>2.0946816056409867</v>
      </c>
      <c r="AD401" s="389">
        <f t="shared" si="104"/>
        <v>2.2356350915094927</v>
      </c>
      <c r="AE401" s="43"/>
      <c r="AF401" s="1027">
        <f t="shared" si="105"/>
        <v>2.2356350915094927</v>
      </c>
      <c r="AG401" s="392">
        <f t="shared" si="106"/>
        <v>2.2360000000000002</v>
      </c>
      <c r="AH401" s="392">
        <f>AG401+'TAR_Tab 14_Overige tarieven'!$AA$14+'TAR_Tab 14_Overige tarieven'!$AA$15</f>
        <v>2.4160000000000004</v>
      </c>
      <c r="AI401" s="43"/>
    </row>
    <row r="402" spans="1:35">
      <c r="A402" s="96">
        <v>301113</v>
      </c>
      <c r="B402" s="1286" t="s">
        <v>445</v>
      </c>
      <c r="C402" s="1022"/>
      <c r="D402" s="1358"/>
      <c r="E402" s="1022"/>
      <c r="F402" s="1032">
        <v>0.84547222836978686</v>
      </c>
      <c r="G402" s="390">
        <f t="shared" si="96"/>
        <v>0.80455137251668918</v>
      </c>
      <c r="H402" s="390">
        <f t="shared" si="97"/>
        <v>0.82335454708370037</v>
      </c>
      <c r="I402" s="387"/>
      <c r="J402" s="388">
        <f t="shared" si="98"/>
        <v>0.78218681972951531</v>
      </c>
      <c r="K402" s="388">
        <f t="shared" si="99"/>
        <v>0.86452227443788543</v>
      </c>
      <c r="L402" s="1316">
        <v>0.82972016381066438</v>
      </c>
      <c r="M402" s="61" t="b">
        <f t="shared" si="100"/>
        <v>1</v>
      </c>
      <c r="N402" s="857">
        <f t="shared" si="101"/>
        <v>0.82972016381066438</v>
      </c>
      <c r="O402" s="15"/>
      <c r="P402" s="445">
        <f t="shared" si="107"/>
        <v>-3.8480644651361882E-2</v>
      </c>
      <c r="Q402" s="445">
        <f t="shared" si="94"/>
        <v>3.9817213494297364E-2</v>
      </c>
      <c r="R402" s="445">
        <f t="shared" si="95"/>
        <v>0</v>
      </c>
      <c r="S402" s="445">
        <f t="shared" si="95"/>
        <v>1.5000140552619838E-3</v>
      </c>
      <c r="T402" s="445">
        <f t="shared" si="95"/>
        <v>3.4740040781164647E-2</v>
      </c>
      <c r="U402" s="445">
        <f t="shared" si="95"/>
        <v>-4.5464498210707784E-3</v>
      </c>
      <c r="V402" s="445">
        <f t="shared" si="95"/>
        <v>-1.7104257553081142E-4</v>
      </c>
      <c r="W402" s="445">
        <f t="shared" si="95"/>
        <v>-1.4142222322066578E-2</v>
      </c>
      <c r="X402" s="445">
        <f t="shared" si="95"/>
        <v>1.115869924654439E-3</v>
      </c>
      <c r="Y402" s="43"/>
      <c r="Z402" s="388">
        <f t="shared" si="103"/>
        <v>0.84955294269601278</v>
      </c>
      <c r="AA402" s="43"/>
      <c r="AB402" s="462">
        <f>IF('TAR_Tab 2_Volumina'!C405="storage",1,0)</f>
        <v>0</v>
      </c>
      <c r="AC402" s="389">
        <f t="shared" si="102"/>
        <v>0.84955294269601278</v>
      </c>
      <c r="AD402" s="389">
        <f t="shared" si="104"/>
        <v>0.90672031762324257</v>
      </c>
      <c r="AE402" s="43"/>
      <c r="AF402" s="1027">
        <f t="shared" si="105"/>
        <v>0.90672031762324257</v>
      </c>
      <c r="AG402" s="392">
        <f t="shared" si="106"/>
        <v>0.90700000000000003</v>
      </c>
      <c r="AH402" s="392">
        <f>AG402+'TAR_Tab 14_Overige tarieven'!$AA$14+'TAR_Tab 14_Overige tarieven'!$AA$15</f>
        <v>1.0870000000000002</v>
      </c>
      <c r="AI402" s="43"/>
    </row>
    <row r="403" spans="1:35">
      <c r="A403" s="96">
        <v>301114</v>
      </c>
      <c r="B403" s="1286" t="s">
        <v>318</v>
      </c>
      <c r="C403" s="1022"/>
      <c r="D403" s="1358"/>
      <c r="E403" s="1022"/>
      <c r="F403" s="1032">
        <v>1.1058384546858038</v>
      </c>
      <c r="G403" s="390">
        <f t="shared" si="96"/>
        <v>1.0523158734790108</v>
      </c>
      <c r="H403" s="390">
        <f t="shared" si="97"/>
        <v>1.0769095535653028</v>
      </c>
      <c r="I403" s="387"/>
      <c r="J403" s="388">
        <f t="shared" si="98"/>
        <v>1.0230640758870377</v>
      </c>
      <c r="K403" s="388">
        <f t="shared" si="99"/>
        <v>1.1307550312435679</v>
      </c>
      <c r="L403" s="1316">
        <v>1.0852354849540145</v>
      </c>
      <c r="M403" s="61" t="b">
        <f t="shared" si="100"/>
        <v>1</v>
      </c>
      <c r="N403" s="857">
        <f t="shared" si="101"/>
        <v>1.0852354849540145</v>
      </c>
      <c r="O403" s="15"/>
      <c r="P403" s="445">
        <f t="shared" si="107"/>
        <v>-5.0330898152178991E-2</v>
      </c>
      <c r="Q403" s="445">
        <f t="shared" si="94"/>
        <v>5.2079068197578175E-2</v>
      </c>
      <c r="R403" s="445">
        <f t="shared" si="95"/>
        <v>0</v>
      </c>
      <c r="S403" s="445">
        <f t="shared" si="95"/>
        <v>1.9619488011762285E-3</v>
      </c>
      <c r="T403" s="445">
        <f t="shared" si="95"/>
        <v>4.5438361810226605E-2</v>
      </c>
      <c r="U403" s="445">
        <f t="shared" si="95"/>
        <v>-5.9465454638688653E-3</v>
      </c>
      <c r="V403" s="445">
        <f t="shared" si="95"/>
        <v>-2.237157544194878E-4</v>
      </c>
      <c r="W403" s="445">
        <f t="shared" si="95"/>
        <v>-1.8497370763569419E-2</v>
      </c>
      <c r="X403" s="445">
        <f t="shared" si="95"/>
        <v>1.4595060981358722E-3</v>
      </c>
      <c r="Y403" s="43"/>
      <c r="Z403" s="388">
        <f t="shared" si="103"/>
        <v>1.1111758397270945</v>
      </c>
      <c r="AA403" s="43"/>
      <c r="AB403" s="462">
        <f>IF('TAR_Tab 2_Volumina'!C406="storage",1,0)</f>
        <v>1</v>
      </c>
      <c r="AC403" s="389">
        <f t="shared" si="102"/>
        <v>0.83338187979532097</v>
      </c>
      <c r="AD403" s="389">
        <f t="shared" si="104"/>
        <v>0.83338187979532097</v>
      </c>
      <c r="AE403" s="43"/>
      <c r="AF403" s="1027">
        <f t="shared" si="105"/>
        <v>0.83338187979532097</v>
      </c>
      <c r="AG403" s="392">
        <f t="shared" si="106"/>
        <v>0.83299999999999996</v>
      </c>
      <c r="AH403" s="392">
        <f>AG403+'TAR_Tab 14_Overige tarieven'!$AA$14+'TAR_Tab 14_Overige tarieven'!$AA$15</f>
        <v>1.0129999999999999</v>
      </c>
      <c r="AI403" s="43"/>
    </row>
    <row r="404" spans="1:35">
      <c r="A404" s="96">
        <v>301116</v>
      </c>
      <c r="B404" s="1286" t="s">
        <v>319</v>
      </c>
      <c r="C404" s="1022"/>
      <c r="D404" s="1358"/>
      <c r="E404" s="1022"/>
      <c r="F404" s="1032">
        <v>0.87187436021428244</v>
      </c>
      <c r="G404" s="390">
        <f t="shared" si="96"/>
        <v>0.82967564117991122</v>
      </c>
      <c r="H404" s="390">
        <f t="shared" si="97"/>
        <v>0.84906599516849901</v>
      </c>
      <c r="I404" s="387"/>
      <c r="J404" s="388">
        <f t="shared" si="98"/>
        <v>0.80661269541007408</v>
      </c>
      <c r="K404" s="388">
        <f t="shared" si="99"/>
        <v>0.89151929492692394</v>
      </c>
      <c r="L404" s="1316">
        <v>0.85563039530484941</v>
      </c>
      <c r="M404" s="61" t="b">
        <f t="shared" si="100"/>
        <v>1</v>
      </c>
      <c r="N404" s="857">
        <f t="shared" si="101"/>
        <v>0.85563039530484941</v>
      </c>
      <c r="O404" s="15"/>
      <c r="P404" s="445">
        <f t="shared" si="107"/>
        <v>-3.968230571065582E-2</v>
      </c>
      <c r="Q404" s="445">
        <f t="shared" si="94"/>
        <v>4.1060612490836694E-2</v>
      </c>
      <c r="R404" s="445">
        <f t="shared" si="95"/>
        <v>0</v>
      </c>
      <c r="S404" s="445">
        <f t="shared" si="95"/>
        <v>1.5468560064541427E-3</v>
      </c>
      <c r="T404" s="445">
        <f t="shared" si="95"/>
        <v>3.5824891479047417E-2</v>
      </c>
      <c r="U404" s="445">
        <f t="shared" si="95"/>
        <v>-4.6884248778171645E-3</v>
      </c>
      <c r="V404" s="445">
        <f t="shared" si="95"/>
        <v>-1.7638383746545116E-4</v>
      </c>
      <c r="W404" s="445">
        <f t="shared" si="95"/>
        <v>-1.458385104243427E-2</v>
      </c>
      <c r="X404" s="445">
        <f t="shared" si="95"/>
        <v>1.1507159478394231E-3</v>
      </c>
      <c r="Y404" s="43"/>
      <c r="Z404" s="388">
        <f t="shared" si="103"/>
        <v>0.87608250576065438</v>
      </c>
      <c r="AA404" s="43"/>
      <c r="AB404" s="462">
        <f>IF('TAR_Tab 2_Volumina'!C407="storage",1,0)</f>
        <v>1</v>
      </c>
      <c r="AC404" s="389">
        <f t="shared" si="102"/>
        <v>0.65706187932049076</v>
      </c>
      <c r="AD404" s="389">
        <f t="shared" si="104"/>
        <v>0.65706187932049076</v>
      </c>
      <c r="AE404" s="43"/>
      <c r="AF404" s="1027">
        <f t="shared" si="105"/>
        <v>0.65706187932049076</v>
      </c>
      <c r="AG404" s="392">
        <f t="shared" si="106"/>
        <v>0.65700000000000003</v>
      </c>
      <c r="AH404" s="392">
        <f>AG404+'TAR_Tab 14_Overige tarieven'!$AA$14+'TAR_Tab 14_Overige tarieven'!$AA$15</f>
        <v>0.83700000000000008</v>
      </c>
      <c r="AI404" s="43"/>
    </row>
    <row r="405" spans="1:35">
      <c r="A405" s="96">
        <v>301118</v>
      </c>
      <c r="B405" s="1286" t="s">
        <v>231</v>
      </c>
      <c r="C405" s="1022"/>
      <c r="D405" s="1358"/>
      <c r="E405" s="1022"/>
      <c r="F405" s="1032">
        <v>1.2910998192877436</v>
      </c>
      <c r="G405" s="390">
        <f t="shared" si="96"/>
        <v>1.2286105880342169</v>
      </c>
      <c r="H405" s="390">
        <f t="shared" si="97"/>
        <v>1.2573244528672627</v>
      </c>
      <c r="I405" s="387"/>
      <c r="J405" s="388">
        <f t="shared" si="98"/>
        <v>1.1944582302238995</v>
      </c>
      <c r="K405" s="388">
        <f t="shared" si="99"/>
        <v>1.3201906755106259</v>
      </c>
      <c r="L405" s="1316">
        <v>1.2670452294109054</v>
      </c>
      <c r="M405" s="61" t="b">
        <f t="shared" si="100"/>
        <v>1</v>
      </c>
      <c r="N405" s="857">
        <f t="shared" si="101"/>
        <v>1.2670452294109054</v>
      </c>
      <c r="O405" s="15"/>
      <c r="P405" s="445">
        <f t="shared" si="107"/>
        <v>-5.8762844820160649E-2</v>
      </c>
      <c r="Q405" s="445">
        <f t="shared" si="94"/>
        <v>6.0803886185773516E-2</v>
      </c>
      <c r="R405" s="445">
        <f t="shared" si="95"/>
        <v>0</v>
      </c>
      <c r="S405" s="445">
        <f t="shared" si="95"/>
        <v>2.2906345243439226E-3</v>
      </c>
      <c r="T405" s="445">
        <f t="shared" si="95"/>
        <v>5.3050660766344043E-2</v>
      </c>
      <c r="U405" s="445">
        <f t="shared" si="95"/>
        <v>-6.9427715605791971E-3</v>
      </c>
      <c r="V405" s="445">
        <f t="shared" si="95"/>
        <v>-2.611949049871742E-4</v>
      </c>
      <c r="W405" s="445">
        <f t="shared" si="95"/>
        <v>-2.1596239440713184E-2</v>
      </c>
      <c r="X405" s="445">
        <f t="shared" si="95"/>
        <v>1.7040174824522456E-3</v>
      </c>
      <c r="Y405" s="43"/>
      <c r="Z405" s="388">
        <f t="shared" si="103"/>
        <v>1.2973313776433788</v>
      </c>
      <c r="AA405" s="43"/>
      <c r="AB405" s="462">
        <f>IF('TAR_Tab 2_Volumina'!C408="storage",1,0)</f>
        <v>1</v>
      </c>
      <c r="AC405" s="389">
        <f t="shared" si="102"/>
        <v>0.97299853323253416</v>
      </c>
      <c r="AD405" s="389">
        <f t="shared" si="104"/>
        <v>0.97299853323253416</v>
      </c>
      <c r="AE405" s="43"/>
      <c r="AF405" s="1027">
        <f t="shared" si="105"/>
        <v>0.97299853323253416</v>
      </c>
      <c r="AG405" s="392">
        <f t="shared" si="106"/>
        <v>0.97299999999999998</v>
      </c>
      <c r="AH405" s="392">
        <f>AG405+'TAR_Tab 14_Overige tarieven'!$AA$14+'TAR_Tab 14_Overige tarieven'!$AA$15</f>
        <v>1.153</v>
      </c>
      <c r="AI405" s="43"/>
    </row>
    <row r="406" spans="1:35">
      <c r="A406" s="96">
        <v>301120</v>
      </c>
      <c r="B406" s="1286" t="s">
        <v>46</v>
      </c>
      <c r="C406" s="1022"/>
      <c r="D406" s="1358"/>
      <c r="E406" s="1022"/>
      <c r="F406" s="1032">
        <v>1.2258964182661505</v>
      </c>
      <c r="G406" s="390">
        <f t="shared" si="96"/>
        <v>1.1665630316220688</v>
      </c>
      <c r="H406" s="390">
        <f t="shared" si="97"/>
        <v>1.1938267826717963</v>
      </c>
      <c r="I406" s="387"/>
      <c r="J406" s="388">
        <f t="shared" si="98"/>
        <v>1.1341354435382065</v>
      </c>
      <c r="K406" s="388">
        <f t="shared" si="99"/>
        <v>1.2535181218053861</v>
      </c>
      <c r="L406" s="1316">
        <v>1.2030566384657435</v>
      </c>
      <c r="M406" s="61" t="b">
        <f t="shared" si="100"/>
        <v>1</v>
      </c>
      <c r="N406" s="857">
        <f t="shared" si="101"/>
        <v>1.2030566384657435</v>
      </c>
      <c r="O406" s="15"/>
      <c r="P406" s="445">
        <f t="shared" si="107"/>
        <v>-5.5795190980589736E-2</v>
      </c>
      <c r="Q406" s="445">
        <f t="shared" si="94"/>
        <v>5.7733155235761113E-2</v>
      </c>
      <c r="R406" s="445">
        <f t="shared" si="95"/>
        <v>0</v>
      </c>
      <c r="S406" s="445">
        <f t="shared" si="95"/>
        <v>2.174952406467786E-3</v>
      </c>
      <c r="T406" s="445">
        <f t="shared" si="95"/>
        <v>5.0371484875577757E-2</v>
      </c>
      <c r="U406" s="445">
        <f t="shared" si="95"/>
        <v>-6.5921462165872101E-3</v>
      </c>
      <c r="V406" s="445">
        <f t="shared" si="95"/>
        <v>-2.4800398366548197E-4</v>
      </c>
      <c r="W406" s="445">
        <f t="shared" si="95"/>
        <v>-2.0505581507240619E-2</v>
      </c>
      <c r="X406" s="445">
        <f t="shared" si="95"/>
        <v>1.6179608247126188E-3</v>
      </c>
      <c r="Y406" s="43"/>
      <c r="Z406" s="388">
        <f t="shared" si="103"/>
        <v>1.2318132691201797</v>
      </c>
      <c r="AA406" s="43"/>
      <c r="AB406" s="462">
        <f>IF('TAR_Tab 2_Volumina'!C409="storage",1,0)</f>
        <v>0</v>
      </c>
      <c r="AC406" s="389">
        <f t="shared" si="102"/>
        <v>1.2318132691201797</v>
      </c>
      <c r="AD406" s="389">
        <f t="shared" si="104"/>
        <v>1.314703372205053</v>
      </c>
      <c r="AE406" s="43"/>
      <c r="AF406" s="1027">
        <f t="shared" si="105"/>
        <v>1.314703372205053</v>
      </c>
      <c r="AG406" s="392">
        <f t="shared" si="106"/>
        <v>1.3149999999999999</v>
      </c>
      <c r="AH406" s="392">
        <f>AG406+'TAR_Tab 14_Overige tarieven'!$AA$14+'TAR_Tab 14_Overige tarieven'!$AA$15</f>
        <v>1.4949999999999999</v>
      </c>
      <c r="AI406" s="43"/>
    </row>
    <row r="407" spans="1:35">
      <c r="A407" s="96">
        <v>301122</v>
      </c>
      <c r="B407" s="1286" t="s">
        <v>320</v>
      </c>
      <c r="C407" s="1022"/>
      <c r="D407" s="1358"/>
      <c r="E407" s="1022"/>
      <c r="F407" s="1032">
        <v>0.91019147017848201</v>
      </c>
      <c r="G407" s="390">
        <f t="shared" si="96"/>
        <v>0.86613820302184352</v>
      </c>
      <c r="H407" s="390">
        <f t="shared" si="97"/>
        <v>0.88638072374445809</v>
      </c>
      <c r="I407" s="387"/>
      <c r="J407" s="388">
        <f t="shared" si="98"/>
        <v>0.84206168755723509</v>
      </c>
      <c r="K407" s="388">
        <f t="shared" si="99"/>
        <v>0.93069975993168108</v>
      </c>
      <c r="L407" s="1316">
        <v>0.89323361595415229</v>
      </c>
      <c r="M407" s="61" t="b">
        <f t="shared" si="100"/>
        <v>1</v>
      </c>
      <c r="N407" s="857">
        <f t="shared" si="101"/>
        <v>0.89323361595415229</v>
      </c>
      <c r="O407" s="15"/>
      <c r="P407" s="445">
        <f t="shared" si="107"/>
        <v>-4.1426262570649366E-2</v>
      </c>
      <c r="Q407" s="445">
        <f t="shared" si="94"/>
        <v>4.2865143138603533E-2</v>
      </c>
      <c r="R407" s="445">
        <f t="shared" si="95"/>
        <v>0</v>
      </c>
      <c r="S407" s="445">
        <f t="shared" si="95"/>
        <v>1.6148371909031484E-3</v>
      </c>
      <c r="T407" s="445">
        <f t="shared" si="95"/>
        <v>3.7399322806424447E-2</v>
      </c>
      <c r="U407" s="445">
        <f t="shared" si="95"/>
        <v>-4.8944716430392278E-3</v>
      </c>
      <c r="V407" s="445">
        <f t="shared" si="95"/>
        <v>-1.8413554941441838E-4</v>
      </c>
      <c r="W407" s="445">
        <f t="shared" si="95"/>
        <v>-1.5224781719598719E-2</v>
      </c>
      <c r="X407" s="445">
        <f t="shared" si="95"/>
        <v>1.2012875800870839E-3</v>
      </c>
      <c r="Y407" s="43"/>
      <c r="Z407" s="388">
        <f t="shared" si="103"/>
        <v>0.91458455518746873</v>
      </c>
      <c r="AA407" s="43"/>
      <c r="AB407" s="462">
        <f>IF('TAR_Tab 2_Volumina'!C410="storage",1,0)</f>
        <v>0</v>
      </c>
      <c r="AC407" s="389">
        <f t="shared" si="102"/>
        <v>0.91458455518746873</v>
      </c>
      <c r="AD407" s="389">
        <f t="shared" si="104"/>
        <v>0.97612798060735351</v>
      </c>
      <c r="AE407" s="43"/>
      <c r="AF407" s="1027">
        <f t="shared" si="105"/>
        <v>0.97612798060735351</v>
      </c>
      <c r="AG407" s="392">
        <f t="shared" si="106"/>
        <v>0.97599999999999998</v>
      </c>
      <c r="AH407" s="392">
        <f>AG407+'TAR_Tab 14_Overige tarieven'!$AA$14+'TAR_Tab 14_Overige tarieven'!$AA$15</f>
        <v>1.1559999999999999</v>
      </c>
      <c r="AI407" s="43"/>
    </row>
    <row r="408" spans="1:35">
      <c r="A408" s="96">
        <v>301129</v>
      </c>
      <c r="B408" s="1286" t="s">
        <v>321</v>
      </c>
      <c r="C408" s="1022"/>
      <c r="D408" s="1358"/>
      <c r="E408" s="1022"/>
      <c r="F408" s="1032">
        <v>3.3297126825944536</v>
      </c>
      <c r="G408" s="390">
        <f t="shared" si="96"/>
        <v>3.1685545887568822</v>
      </c>
      <c r="H408" s="390">
        <f t="shared" si="97"/>
        <v>3.2426068955364151</v>
      </c>
      <c r="I408" s="387"/>
      <c r="J408" s="388">
        <f t="shared" si="98"/>
        <v>3.0804765507595944</v>
      </c>
      <c r="K408" s="388">
        <f t="shared" si="99"/>
        <v>3.4047372403132359</v>
      </c>
      <c r="L408" s="1316">
        <v>3.2676765241263173</v>
      </c>
      <c r="M408" s="61" t="b">
        <f t="shared" si="100"/>
        <v>1</v>
      </c>
      <c r="N408" s="857">
        <f t="shared" si="101"/>
        <v>3.2676765241263173</v>
      </c>
      <c r="O408" s="15"/>
      <c r="P408" s="445">
        <f t="shared" si="107"/>
        <v>-0.15154784063943222</v>
      </c>
      <c r="Q408" s="445">
        <f t="shared" si="94"/>
        <v>0.15681163296536582</v>
      </c>
      <c r="R408" s="445">
        <f t="shared" si="95"/>
        <v>0</v>
      </c>
      <c r="S408" s="445">
        <f t="shared" si="95"/>
        <v>5.9074865575492975E-3</v>
      </c>
      <c r="T408" s="445">
        <f t="shared" si="95"/>
        <v>0.13681626728997609</v>
      </c>
      <c r="U408" s="445">
        <f t="shared" si="95"/>
        <v>-1.7905226359933774E-2</v>
      </c>
      <c r="V408" s="445">
        <f t="shared" si="95"/>
        <v>-6.7361483192262671E-4</v>
      </c>
      <c r="W408" s="445">
        <f t="shared" si="95"/>
        <v>-5.5696136958456988E-2</v>
      </c>
      <c r="X408" s="445">
        <f t="shared" si="95"/>
        <v>4.3946165415885566E-3</v>
      </c>
      <c r="Y408" s="43"/>
      <c r="Z408" s="388">
        <f t="shared" si="103"/>
        <v>3.3457837086910516</v>
      </c>
      <c r="AA408" s="43"/>
      <c r="AB408" s="462">
        <f>IF('TAR_Tab 2_Volumina'!C411="storage",1,0)</f>
        <v>0</v>
      </c>
      <c r="AC408" s="389">
        <f t="shared" si="102"/>
        <v>3.3457837086910516</v>
      </c>
      <c r="AD408" s="389">
        <f t="shared" si="104"/>
        <v>3.5709252650173404</v>
      </c>
      <c r="AE408" s="43"/>
      <c r="AF408" s="1027">
        <f t="shared" si="105"/>
        <v>3.5709252650173404</v>
      </c>
      <c r="AG408" s="392">
        <f t="shared" si="106"/>
        <v>3.5710000000000002</v>
      </c>
      <c r="AH408" s="392">
        <f>AG408+'TAR_Tab 14_Overige tarieven'!$AA$14+'TAR_Tab 14_Overige tarieven'!$AA$15</f>
        <v>3.7510000000000003</v>
      </c>
      <c r="AI408" s="43"/>
    </row>
    <row r="409" spans="1:35">
      <c r="A409" s="96">
        <v>301144</v>
      </c>
      <c r="B409" s="1286" t="s">
        <v>322</v>
      </c>
      <c r="C409" s="1022"/>
      <c r="D409" s="1358"/>
      <c r="E409" s="1022"/>
      <c r="F409" s="1032">
        <v>3.0280962524875843</v>
      </c>
      <c r="G409" s="390">
        <f t="shared" si="96"/>
        <v>2.8815363938671852</v>
      </c>
      <c r="H409" s="390">
        <f t="shared" si="97"/>
        <v>2.9488807968300383</v>
      </c>
      <c r="I409" s="387"/>
      <c r="J409" s="388">
        <f t="shared" si="98"/>
        <v>2.8014367569885361</v>
      </c>
      <c r="K409" s="388">
        <f t="shared" si="99"/>
        <v>3.0963248366715406</v>
      </c>
      <c r="L409" s="1316">
        <v>2.9716795352260457</v>
      </c>
      <c r="M409" s="61" t="b">
        <f t="shared" si="100"/>
        <v>1</v>
      </c>
      <c r="N409" s="857">
        <f t="shared" si="101"/>
        <v>2.9716795352260457</v>
      </c>
      <c r="O409" s="15"/>
      <c r="P409" s="445">
        <f t="shared" si="107"/>
        <v>-0.13782013406492549</v>
      </c>
      <c r="Q409" s="445">
        <f t="shared" si="94"/>
        <v>0.14260711460512418</v>
      </c>
      <c r="R409" s="445">
        <f t="shared" si="95"/>
        <v>0</v>
      </c>
      <c r="S409" s="445">
        <f t="shared" si="95"/>
        <v>5.3723668111200062E-3</v>
      </c>
      <c r="T409" s="445">
        <f t="shared" si="95"/>
        <v>0.12442299554125688</v>
      </c>
      <c r="U409" s="445">
        <f t="shared" si="95"/>
        <v>-1.6283311507289292E-2</v>
      </c>
      <c r="V409" s="445">
        <f t="shared" si="95"/>
        <v>-6.1259656391001469E-4</v>
      </c>
      <c r="W409" s="445">
        <f t="shared" si="95"/>
        <v>-5.0650995950355444E-2</v>
      </c>
      <c r="X409" s="445">
        <f t="shared" si="95"/>
        <v>3.9965375842384767E-3</v>
      </c>
      <c r="Y409" s="43"/>
      <c r="Z409" s="388">
        <f t="shared" si="103"/>
        <v>3.042711511681305</v>
      </c>
      <c r="AA409" s="43"/>
      <c r="AB409" s="462">
        <f>IF('TAR_Tab 2_Volumina'!C412="storage",1,0)</f>
        <v>0</v>
      </c>
      <c r="AC409" s="389">
        <f t="shared" si="102"/>
        <v>3.042711511681305</v>
      </c>
      <c r="AD409" s="389">
        <f t="shared" si="104"/>
        <v>3.2474589983201971</v>
      </c>
      <c r="AE409" s="43"/>
      <c r="AF409" s="1027">
        <f t="shared" si="105"/>
        <v>3.2474589983201971</v>
      </c>
      <c r="AG409" s="392">
        <f t="shared" si="106"/>
        <v>3.2469999999999999</v>
      </c>
      <c r="AH409" s="392">
        <f>AG409+'TAR_Tab 14_Overige tarieven'!$AA$14+'TAR_Tab 14_Overige tarieven'!$AA$15</f>
        <v>3.427</v>
      </c>
      <c r="AI409" s="43"/>
    </row>
    <row r="410" spans="1:35">
      <c r="A410" s="96">
        <v>301148</v>
      </c>
      <c r="B410" s="1286" t="s">
        <v>323</v>
      </c>
      <c r="C410" s="1022"/>
      <c r="D410" s="1358"/>
      <c r="E410" s="1022"/>
      <c r="F410" s="1032">
        <v>1.3522580490720455</v>
      </c>
      <c r="G410" s="390">
        <f t="shared" si="96"/>
        <v>1.2868087594969584</v>
      </c>
      <c r="H410" s="390">
        <f t="shared" si="97"/>
        <v>1.3168827741164271</v>
      </c>
      <c r="I410" s="387"/>
      <c r="J410" s="388">
        <f t="shared" si="98"/>
        <v>1.2510386354106056</v>
      </c>
      <c r="K410" s="388">
        <f t="shared" si="99"/>
        <v>1.3827269128222486</v>
      </c>
      <c r="L410" s="1316">
        <v>1.327064015046058</v>
      </c>
      <c r="M410" s="61" t="b">
        <f t="shared" si="100"/>
        <v>1</v>
      </c>
      <c r="N410" s="857">
        <f t="shared" si="101"/>
        <v>1.327064015046058</v>
      </c>
      <c r="O410" s="15"/>
      <c r="P410" s="445">
        <f t="shared" si="107"/>
        <v>-6.1546387589358188E-2</v>
      </c>
      <c r="Q410" s="445">
        <f t="shared" si="94"/>
        <v>6.3684111236985683E-2</v>
      </c>
      <c r="R410" s="445">
        <f t="shared" si="95"/>
        <v>0</v>
      </c>
      <c r="S410" s="445">
        <f t="shared" si="95"/>
        <v>2.3991398083652339E-3</v>
      </c>
      <c r="T410" s="445">
        <f t="shared" si="95"/>
        <v>5.5563622547368054E-2</v>
      </c>
      <c r="U410" s="445">
        <f t="shared" si="95"/>
        <v>-7.2716443650661959E-3</v>
      </c>
      <c r="V410" s="445">
        <f t="shared" si="95"/>
        <v>-2.7356747121253921E-4</v>
      </c>
      <c r="W410" s="445">
        <f t="shared" si="95"/>
        <v>-2.2619233754910029E-2</v>
      </c>
      <c r="X410" s="445">
        <f t="shared" si="95"/>
        <v>1.7847352481829956E-3</v>
      </c>
      <c r="Y410" s="43"/>
      <c r="Z410" s="388">
        <f t="shared" si="103"/>
        <v>1.358784790706413</v>
      </c>
      <c r="AA410" s="43"/>
      <c r="AB410" s="462">
        <f>IF('TAR_Tab 2_Volumina'!C413="storage",1,0)</f>
        <v>0</v>
      </c>
      <c r="AC410" s="389">
        <f t="shared" si="102"/>
        <v>1.358784790706413</v>
      </c>
      <c r="AD410" s="389">
        <f t="shared" si="104"/>
        <v>1.4502189505708039</v>
      </c>
      <c r="AE410" s="43"/>
      <c r="AF410" s="1027">
        <f t="shared" si="105"/>
        <v>1.4502189505708039</v>
      </c>
      <c r="AG410" s="392">
        <f t="shared" si="106"/>
        <v>1.45</v>
      </c>
      <c r="AH410" s="392">
        <f>AG410+'TAR_Tab 14_Overige tarieven'!$AA$14+'TAR_Tab 14_Overige tarieven'!$AA$15</f>
        <v>1.63</v>
      </c>
      <c r="AI410" s="43"/>
    </row>
    <row r="411" spans="1:35">
      <c r="A411" s="96">
        <v>301152</v>
      </c>
      <c r="B411" s="1286" t="s">
        <v>232</v>
      </c>
      <c r="C411" s="1022"/>
      <c r="D411" s="1358"/>
      <c r="E411" s="1022"/>
      <c r="F411" s="1032">
        <v>1.2268394155109705</v>
      </c>
      <c r="G411" s="390">
        <f t="shared" si="96"/>
        <v>1.1674603878002396</v>
      </c>
      <c r="H411" s="390">
        <f t="shared" si="97"/>
        <v>1.1947451109661591</v>
      </c>
      <c r="I411" s="387"/>
      <c r="J411" s="388">
        <f t="shared" si="98"/>
        <v>1.1350078554178511</v>
      </c>
      <c r="K411" s="388">
        <f t="shared" si="99"/>
        <v>1.2544823665144671</v>
      </c>
      <c r="L411" s="1316">
        <v>1.2039820666491785</v>
      </c>
      <c r="M411" s="61" t="b">
        <f t="shared" si="100"/>
        <v>1</v>
      </c>
      <c r="N411" s="857">
        <f t="shared" si="101"/>
        <v>1.2039820666491785</v>
      </c>
      <c r="O411" s="15"/>
      <c r="P411" s="445">
        <f t="shared" si="107"/>
        <v>-5.5838110358267107E-2</v>
      </c>
      <c r="Q411" s="445">
        <f t="shared" si="94"/>
        <v>5.7777565355173227E-2</v>
      </c>
      <c r="R411" s="445">
        <f t="shared" si="95"/>
        <v>0</v>
      </c>
      <c r="S411" s="445">
        <f t="shared" si="95"/>
        <v>2.1766254467804535E-3</v>
      </c>
      <c r="T411" s="445">
        <f t="shared" si="95"/>
        <v>5.0410232171635885E-2</v>
      </c>
      <c r="U411" s="445">
        <f t="shared" si="95"/>
        <v>-6.5972170982922761E-3</v>
      </c>
      <c r="V411" s="445">
        <f t="shared" si="95"/>
        <v>-2.4819475596060924E-4</v>
      </c>
      <c r="W411" s="445">
        <f t="shared" si="95"/>
        <v>-2.0521355031476958E-2</v>
      </c>
      <c r="X411" s="445">
        <f t="shared" si="95"/>
        <v>1.6192054099623974E-3</v>
      </c>
      <c r="Y411" s="43"/>
      <c r="Z411" s="388">
        <f t="shared" si="103"/>
        <v>1.2327608177887335</v>
      </c>
      <c r="AA411" s="43"/>
      <c r="AB411" s="462">
        <f>IF('TAR_Tab 2_Volumina'!C414="storage",1,0)</f>
        <v>0</v>
      </c>
      <c r="AC411" s="389">
        <f t="shared" si="102"/>
        <v>1.2327608177887335</v>
      </c>
      <c r="AD411" s="389">
        <f t="shared" si="104"/>
        <v>1.3157146824913644</v>
      </c>
      <c r="AE411" s="43"/>
      <c r="AF411" s="1027">
        <f t="shared" si="105"/>
        <v>1.3157146824913644</v>
      </c>
      <c r="AG411" s="392">
        <f t="shared" si="106"/>
        <v>1.3160000000000001</v>
      </c>
      <c r="AH411" s="392">
        <f>AG411+'TAR_Tab 14_Overige tarieven'!$AA$14+'TAR_Tab 14_Overige tarieven'!$AA$15</f>
        <v>1.496</v>
      </c>
      <c r="AI411" s="43"/>
    </row>
    <row r="412" spans="1:35">
      <c r="A412" s="96">
        <v>301153</v>
      </c>
      <c r="B412" s="1286" t="s">
        <v>233</v>
      </c>
      <c r="C412" s="1022"/>
      <c r="D412" s="1358"/>
      <c r="E412" s="1022"/>
      <c r="F412" s="1032">
        <v>1.3212456825171512</v>
      </c>
      <c r="G412" s="390">
        <f t="shared" si="96"/>
        <v>1.2572973914833212</v>
      </c>
      <c r="H412" s="390">
        <f t="shared" si="97"/>
        <v>1.2866816957580844</v>
      </c>
      <c r="I412" s="387"/>
      <c r="J412" s="388">
        <f t="shared" si="98"/>
        <v>1.2223476109701801</v>
      </c>
      <c r="K412" s="388">
        <f t="shared" si="99"/>
        <v>1.3510157805459888</v>
      </c>
      <c r="L412" s="1316">
        <v>1.2966294425140921</v>
      </c>
      <c r="M412" s="61" t="b">
        <f t="shared" si="100"/>
        <v>1</v>
      </c>
      <c r="N412" s="857">
        <f t="shared" si="101"/>
        <v>1.2966294425140921</v>
      </c>
      <c r="O412" s="15"/>
      <c r="P412" s="445">
        <f t="shared" si="107"/>
        <v>-6.0134897279974883E-2</v>
      </c>
      <c r="Q412" s="445">
        <f t="shared" si="94"/>
        <v>6.2223594878618033E-2</v>
      </c>
      <c r="R412" s="445">
        <f t="shared" si="95"/>
        <v>0</v>
      </c>
      <c r="S412" s="445">
        <f t="shared" si="95"/>
        <v>2.3441185029239252E-3</v>
      </c>
      <c r="T412" s="445">
        <f t="shared" si="95"/>
        <v>5.428933955771291E-2</v>
      </c>
      <c r="U412" s="445">
        <f t="shared" si="95"/>
        <v>-7.1048781915085566E-3</v>
      </c>
      <c r="V412" s="445">
        <f t="shared" si="95"/>
        <v>-2.672935394725428E-4</v>
      </c>
      <c r="W412" s="445">
        <f t="shared" si="95"/>
        <v>-2.2100489592965882E-2</v>
      </c>
      <c r="X412" s="445">
        <f t="shared" si="95"/>
        <v>1.7438045517393155E-3</v>
      </c>
      <c r="Y412" s="43"/>
      <c r="Z412" s="388">
        <f t="shared" si="103"/>
        <v>1.3276227414011643</v>
      </c>
      <c r="AA412" s="43"/>
      <c r="AB412" s="462">
        <f>IF('TAR_Tab 2_Volumina'!C415="storage",1,0)</f>
        <v>0</v>
      </c>
      <c r="AC412" s="389">
        <f t="shared" si="102"/>
        <v>1.3276227414011643</v>
      </c>
      <c r="AD412" s="389">
        <f t="shared" si="104"/>
        <v>1.4169599718493842</v>
      </c>
      <c r="AE412" s="43"/>
      <c r="AF412" s="1027">
        <f t="shared" si="105"/>
        <v>1.4169599718493842</v>
      </c>
      <c r="AG412" s="392">
        <f t="shared" si="106"/>
        <v>1.417</v>
      </c>
      <c r="AH412" s="392">
        <f>AG412+'TAR_Tab 14_Overige tarieven'!$AA$14+'TAR_Tab 14_Overige tarieven'!$AA$15</f>
        <v>1.597</v>
      </c>
      <c r="AI412" s="43"/>
    </row>
    <row r="413" spans="1:35">
      <c r="A413" s="96">
        <v>301159</v>
      </c>
      <c r="B413" s="1286" t="s">
        <v>234</v>
      </c>
      <c r="C413" s="1022"/>
      <c r="D413" s="1358"/>
      <c r="E413" s="1022"/>
      <c r="F413" s="1032">
        <v>1.3070713993330594</v>
      </c>
      <c r="G413" s="390">
        <f t="shared" si="96"/>
        <v>1.2438091436053393</v>
      </c>
      <c r="H413" s="390">
        <f t="shared" si="97"/>
        <v>1.2728782139645112</v>
      </c>
      <c r="I413" s="387"/>
      <c r="J413" s="388">
        <f t="shared" si="98"/>
        <v>1.2092343032662856</v>
      </c>
      <c r="K413" s="388">
        <f t="shared" si="99"/>
        <v>1.3365221246627368</v>
      </c>
      <c r="L413" s="1316">
        <v>1.2827192415982323</v>
      </c>
      <c r="M413" s="61" t="b">
        <f t="shared" si="100"/>
        <v>1</v>
      </c>
      <c r="N413" s="857">
        <f t="shared" si="101"/>
        <v>1.2827192415982323</v>
      </c>
      <c r="O413" s="15"/>
      <c r="P413" s="445">
        <f t="shared" si="107"/>
        <v>-5.9489771945170564E-2</v>
      </c>
      <c r="Q413" s="445">
        <f t="shared" si="94"/>
        <v>6.1556062059996849E-2</v>
      </c>
      <c r="R413" s="445">
        <f t="shared" si="95"/>
        <v>0</v>
      </c>
      <c r="S413" s="445">
        <f t="shared" si="95"/>
        <v>2.3189708714749331E-3</v>
      </c>
      <c r="T413" s="445">
        <f t="shared" si="95"/>
        <v>5.3706925186978831E-2</v>
      </c>
      <c r="U413" s="445">
        <f t="shared" si="95"/>
        <v>-7.028657276044098E-3</v>
      </c>
      <c r="V413" s="445">
        <f t="shared" si="95"/>
        <v>-2.6442602257398685E-4</v>
      </c>
      <c r="W413" s="445">
        <f t="shared" si="95"/>
        <v>-2.1863396218022191E-2</v>
      </c>
      <c r="X413" s="445">
        <f t="shared" si="95"/>
        <v>1.7250970699582042E-3</v>
      </c>
      <c r="Y413" s="43"/>
      <c r="Z413" s="388">
        <f t="shared" si="103"/>
        <v>1.3133800453248303</v>
      </c>
      <c r="AA413" s="43"/>
      <c r="AB413" s="462">
        <f>IF('TAR_Tab 2_Volumina'!C416="storage",1,0)</f>
        <v>0</v>
      </c>
      <c r="AC413" s="389">
        <f t="shared" si="102"/>
        <v>1.3133800453248303</v>
      </c>
      <c r="AD413" s="389">
        <f t="shared" si="104"/>
        <v>1.4017588687031075</v>
      </c>
      <c r="AE413" s="43"/>
      <c r="AF413" s="1027">
        <f t="shared" si="105"/>
        <v>1.4017588687031075</v>
      </c>
      <c r="AG413" s="392">
        <f t="shared" si="106"/>
        <v>1.4019999999999999</v>
      </c>
      <c r="AH413" s="392">
        <f>AG413+'TAR_Tab 14_Overige tarieven'!$AA$14+'TAR_Tab 14_Overige tarieven'!$AA$15</f>
        <v>1.5819999999999999</v>
      </c>
      <c r="AI413" s="43"/>
    </row>
    <row r="414" spans="1:35">
      <c r="A414" s="96">
        <v>301164</v>
      </c>
      <c r="B414" s="1286" t="s">
        <v>235</v>
      </c>
      <c r="C414" s="1022"/>
      <c r="D414" s="1358"/>
      <c r="E414" s="1022"/>
      <c r="F414" s="1032">
        <v>1.1513996359253609</v>
      </c>
      <c r="G414" s="390">
        <f t="shared" si="96"/>
        <v>1.0956718935465735</v>
      </c>
      <c r="H414" s="390">
        <f t="shared" si="97"/>
        <v>1.1212788474171251</v>
      </c>
      <c r="I414" s="387"/>
      <c r="J414" s="388">
        <f t="shared" si="98"/>
        <v>1.0652149050462689</v>
      </c>
      <c r="K414" s="388">
        <f t="shared" si="99"/>
        <v>1.1773427897879813</v>
      </c>
      <c r="L414" s="1316">
        <v>1.1299478119743631</v>
      </c>
      <c r="M414" s="61" t="b">
        <f t="shared" si="100"/>
        <v>1</v>
      </c>
      <c r="N414" s="857">
        <f t="shared" si="101"/>
        <v>1.1299478119743631</v>
      </c>
      <c r="O414" s="15"/>
      <c r="P414" s="445">
        <f t="shared" si="107"/>
        <v>-5.2404560144076948E-2</v>
      </c>
      <c r="Q414" s="445">
        <f t="shared" si="94"/>
        <v>5.4224755802203289E-2</v>
      </c>
      <c r="R414" s="445">
        <f t="shared" si="95"/>
        <v>0</v>
      </c>
      <c r="S414" s="445">
        <f t="shared" si="95"/>
        <v>2.0427822217670504E-3</v>
      </c>
      <c r="T414" s="445">
        <f t="shared" si="95"/>
        <v>4.731044848698493E-2</v>
      </c>
      <c r="U414" s="445">
        <f t="shared" si="95"/>
        <v>-6.1915465618869068E-3</v>
      </c>
      <c r="V414" s="445">
        <f t="shared" si="95"/>
        <v>-2.3293297235042564E-4</v>
      </c>
      <c r="W414" s="445">
        <f t="shared" si="95"/>
        <v>-1.9259473092569836E-2</v>
      </c>
      <c r="X414" s="445">
        <f t="shared" si="95"/>
        <v>1.519638589980082E-3</v>
      </c>
      <c r="Y414" s="43"/>
      <c r="Z414" s="388">
        <f t="shared" si="103"/>
        <v>1.1569569243044144</v>
      </c>
      <c r="AA414" s="43"/>
      <c r="AB414" s="462">
        <f>IF('TAR_Tab 2_Volumina'!C417="storage",1,0)</f>
        <v>0</v>
      </c>
      <c r="AC414" s="389">
        <f t="shared" si="102"/>
        <v>1.1569569243044144</v>
      </c>
      <c r="AD414" s="389">
        <f t="shared" si="104"/>
        <v>1.2348098595864376</v>
      </c>
      <c r="AE414" s="43"/>
      <c r="AF414" s="1027">
        <f t="shared" si="105"/>
        <v>1.2348098595864376</v>
      </c>
      <c r="AG414" s="392">
        <f t="shared" si="106"/>
        <v>1.2350000000000001</v>
      </c>
      <c r="AH414" s="392">
        <f>AG414+'TAR_Tab 14_Overige tarieven'!$AA$14+'TAR_Tab 14_Overige tarieven'!$AA$15</f>
        <v>1.415</v>
      </c>
      <c r="AI414" s="43"/>
    </row>
    <row r="415" spans="1:35">
      <c r="A415" s="96">
        <v>301177</v>
      </c>
      <c r="B415" s="1286" t="s">
        <v>1203</v>
      </c>
      <c r="C415" s="1022"/>
      <c r="D415" s="1358"/>
      <c r="E415" s="1022"/>
      <c r="F415" s="1032">
        <v>0.8808304550114342</v>
      </c>
      <c r="G415" s="390">
        <f t="shared" si="96"/>
        <v>0.83819826098888084</v>
      </c>
      <c r="H415" s="390">
        <f t="shared" si="97"/>
        <v>0.85778779717205622</v>
      </c>
      <c r="I415" s="387"/>
      <c r="J415" s="388">
        <f t="shared" si="98"/>
        <v>0.81489840731345342</v>
      </c>
      <c r="K415" s="388">
        <f t="shared" si="99"/>
        <v>0.90067718703065902</v>
      </c>
      <c r="L415" s="1316">
        <v>0.86441962834272801</v>
      </c>
      <c r="M415" s="61" t="b">
        <f t="shared" si="100"/>
        <v>1</v>
      </c>
      <c r="N415" s="857">
        <f t="shared" si="101"/>
        <v>0.86441962834272801</v>
      </c>
      <c r="O415" s="15"/>
      <c r="P415" s="445">
        <f t="shared" si="107"/>
        <v>-4.0089931519983253E-2</v>
      </c>
      <c r="Q415" s="445">
        <f t="shared" si="94"/>
        <v>4.1482396585745353E-2</v>
      </c>
      <c r="R415" s="445">
        <f t="shared" si="95"/>
        <v>0</v>
      </c>
      <c r="S415" s="445">
        <f t="shared" si="95"/>
        <v>1.5627456686159501E-3</v>
      </c>
      <c r="T415" s="445">
        <f t="shared" si="95"/>
        <v>3.6192893038475275E-2</v>
      </c>
      <c r="U415" s="445">
        <f t="shared" si="95"/>
        <v>-4.7365854610057039E-3</v>
      </c>
      <c r="V415" s="445">
        <f t="shared" si="95"/>
        <v>-1.7819569298169519E-4</v>
      </c>
      <c r="W415" s="445">
        <f t="shared" si="95"/>
        <v>-1.4733659728643921E-2</v>
      </c>
      <c r="X415" s="445">
        <f t="shared" si="95"/>
        <v>1.1625363678262103E-3</v>
      </c>
      <c r="Y415" s="43"/>
      <c r="Z415" s="388">
        <f t="shared" si="103"/>
        <v>0.88508182760077625</v>
      </c>
      <c r="AA415" s="43"/>
      <c r="AB415" s="462">
        <f>IF('TAR_Tab 2_Volumina'!C418="storage",1,0)</f>
        <v>0</v>
      </c>
      <c r="AC415" s="389">
        <f t="shared" si="102"/>
        <v>0.88508182760077625</v>
      </c>
      <c r="AD415" s="389">
        <f t="shared" si="104"/>
        <v>0.94463998123292281</v>
      </c>
      <c r="AE415" s="43"/>
      <c r="AF415" s="1027">
        <f t="shared" si="105"/>
        <v>0.94463998123292281</v>
      </c>
      <c r="AG415" s="392">
        <f t="shared" si="106"/>
        <v>0.94499999999999995</v>
      </c>
      <c r="AH415" s="392">
        <f>AG415+'TAR_Tab 14_Overige tarieven'!$AA$14+'TAR_Tab 14_Overige tarieven'!$AA$15</f>
        <v>1.125</v>
      </c>
      <c r="AI415" s="43"/>
    </row>
    <row r="416" spans="1:35">
      <c r="A416" s="96">
        <v>301178</v>
      </c>
      <c r="B416" s="1286" t="s">
        <v>236</v>
      </c>
      <c r="C416" s="1022"/>
      <c r="D416" s="1358"/>
      <c r="E416" s="1022"/>
      <c r="F416" s="1032">
        <v>1.2453120226023722</v>
      </c>
      <c r="G416" s="390">
        <f t="shared" si="96"/>
        <v>1.1850389207084173</v>
      </c>
      <c r="H416" s="390">
        <f t="shared" si="97"/>
        <v>1.2127344718639412</v>
      </c>
      <c r="I416" s="387"/>
      <c r="J416" s="388">
        <f t="shared" si="98"/>
        <v>1.1520977482707442</v>
      </c>
      <c r="K416" s="388">
        <f t="shared" si="99"/>
        <v>1.2733711954571383</v>
      </c>
      <c r="L416" s="1316">
        <v>1.2221105090362703</v>
      </c>
      <c r="M416" s="61" t="b">
        <f t="shared" si="100"/>
        <v>1</v>
      </c>
      <c r="N416" s="857">
        <f t="shared" si="101"/>
        <v>1.2221105090362703</v>
      </c>
      <c r="O416" s="15"/>
      <c r="P416" s="445">
        <f t="shared" si="107"/>
        <v>-5.6678868700665963E-2</v>
      </c>
      <c r="Q416" s="445">
        <f t="shared" si="94"/>
        <v>5.8647526207433069E-2</v>
      </c>
      <c r="R416" s="445">
        <f t="shared" si="95"/>
        <v>0</v>
      </c>
      <c r="S416" s="445">
        <f t="shared" si="95"/>
        <v>2.2093990487328944E-3</v>
      </c>
      <c r="T416" s="445">
        <f t="shared" si="95"/>
        <v>5.1169262571637439E-2</v>
      </c>
      <c r="U416" s="445">
        <f t="shared" si="95"/>
        <v>-6.6965518586632354E-3</v>
      </c>
      <c r="V416" s="445">
        <f t="shared" si="95"/>
        <v>-2.5193184180170695E-4</v>
      </c>
      <c r="W416" s="445">
        <f t="shared" si="95"/>
        <v>-2.0830346512910363E-2</v>
      </c>
      <c r="X416" s="445">
        <f t="shared" si="95"/>
        <v>1.6435858993405037E-3</v>
      </c>
      <c r="Y416" s="43"/>
      <c r="Z416" s="388">
        <f t="shared" si="103"/>
        <v>1.2513225838493729</v>
      </c>
      <c r="AA416" s="43"/>
      <c r="AB416" s="462">
        <f>IF('TAR_Tab 2_Volumina'!C419="storage",1,0)</f>
        <v>0</v>
      </c>
      <c r="AC416" s="389">
        <f t="shared" si="102"/>
        <v>1.2513225838493729</v>
      </c>
      <c r="AD416" s="389">
        <f t="shared" si="104"/>
        <v>1.3355254907086145</v>
      </c>
      <c r="AE416" s="43"/>
      <c r="AF416" s="1027">
        <f t="shared" si="105"/>
        <v>1.3355254907086145</v>
      </c>
      <c r="AG416" s="392">
        <f t="shared" si="106"/>
        <v>1.3360000000000001</v>
      </c>
      <c r="AH416" s="392">
        <f>AG416+'TAR_Tab 14_Overige tarieven'!$AA$14+'TAR_Tab 14_Overige tarieven'!$AA$15</f>
        <v>1.516</v>
      </c>
      <c r="AI416" s="43"/>
    </row>
    <row r="417" spans="1:35">
      <c r="A417" s="96">
        <v>301180</v>
      </c>
      <c r="B417" s="1286" t="s">
        <v>1204</v>
      </c>
      <c r="C417" s="1022"/>
      <c r="D417" s="1358"/>
      <c r="E417" s="1022"/>
      <c r="F417" s="1032">
        <v>1.566258291842171</v>
      </c>
      <c r="G417" s="390">
        <f t="shared" si="96"/>
        <v>1.49045139051701</v>
      </c>
      <c r="H417" s="390">
        <f t="shared" si="97"/>
        <v>1.5252847381898518</v>
      </c>
      <c r="I417" s="387"/>
      <c r="J417" s="388">
        <f t="shared" si="98"/>
        <v>1.4490205012803592</v>
      </c>
      <c r="K417" s="388">
        <f t="shared" si="99"/>
        <v>1.6015489750993444</v>
      </c>
      <c r="L417" s="1316">
        <v>1.5370772012025291</v>
      </c>
      <c r="M417" s="61" t="b">
        <f t="shared" si="100"/>
        <v>1</v>
      </c>
      <c r="N417" s="857">
        <f t="shared" si="101"/>
        <v>1.5370772012025291</v>
      </c>
      <c r="O417" s="15"/>
      <c r="P417" s="445">
        <f t="shared" si="107"/>
        <v>-7.1286349495878282E-2</v>
      </c>
      <c r="Q417" s="445">
        <f t="shared" si="94"/>
        <v>7.3762376457641457E-2</v>
      </c>
      <c r="R417" s="445">
        <f t="shared" si="95"/>
        <v>0</v>
      </c>
      <c r="S417" s="445">
        <f t="shared" si="95"/>
        <v>2.7788132751136491E-3</v>
      </c>
      <c r="T417" s="445">
        <f t="shared" si="95"/>
        <v>6.435678796611638E-2</v>
      </c>
      <c r="U417" s="445">
        <f t="shared" si="95"/>
        <v>-8.4224111588227877E-3</v>
      </c>
      <c r="V417" s="445">
        <f t="shared" si="95"/>
        <v>-3.1686061729043966E-4</v>
      </c>
      <c r="W417" s="445">
        <f t="shared" si="95"/>
        <v>-2.6198817931278331E-2</v>
      </c>
      <c r="X417" s="445">
        <f t="shared" si="95"/>
        <v>2.067176736812813E-3</v>
      </c>
      <c r="Y417" s="43"/>
      <c r="Z417" s="388">
        <f t="shared" si="103"/>
        <v>1.5738179164349435</v>
      </c>
      <c r="AA417" s="43"/>
      <c r="AB417" s="462">
        <f>IF('TAR_Tab 2_Volumina'!C420="storage",1,0)</f>
        <v>0</v>
      </c>
      <c r="AC417" s="389">
        <f t="shared" si="102"/>
        <v>1.5738179164349435</v>
      </c>
      <c r="AD417" s="389">
        <f t="shared" si="104"/>
        <v>1.6797218976635995</v>
      </c>
      <c r="AE417" s="43"/>
      <c r="AF417" s="1027">
        <f t="shared" si="105"/>
        <v>1.6797218976635995</v>
      </c>
      <c r="AG417" s="392">
        <f t="shared" si="106"/>
        <v>1.68</v>
      </c>
      <c r="AH417" s="392">
        <f>AG417+'TAR_Tab 14_Overige tarieven'!$AA$14+'TAR_Tab 14_Overige tarieven'!$AA$15</f>
        <v>1.8599999999999999</v>
      </c>
      <c r="AI417" s="43"/>
    </row>
    <row r="418" spans="1:35">
      <c r="A418" s="96">
        <v>301182</v>
      </c>
      <c r="B418" s="1286" t="s">
        <v>237</v>
      </c>
      <c r="C418" s="1022"/>
      <c r="D418" s="1358"/>
      <c r="E418" s="1022"/>
      <c r="F418" s="1032">
        <v>1.2645593053037754</v>
      </c>
      <c r="G418" s="390">
        <f t="shared" si="96"/>
        <v>1.2033546349270727</v>
      </c>
      <c r="H418" s="390">
        <f t="shared" si="97"/>
        <v>1.2314782427406763</v>
      </c>
      <c r="I418" s="387"/>
      <c r="J418" s="388">
        <f t="shared" si="98"/>
        <v>1.1699043306036425</v>
      </c>
      <c r="K418" s="388">
        <f t="shared" si="99"/>
        <v>1.2930521548777101</v>
      </c>
      <c r="L418" s="1316">
        <v>1.2409991939865863</v>
      </c>
      <c r="M418" s="61" t="b">
        <f t="shared" si="100"/>
        <v>1</v>
      </c>
      <c r="N418" s="857">
        <f t="shared" si="101"/>
        <v>1.2409991939865863</v>
      </c>
      <c r="O418" s="15"/>
      <c r="P418" s="445">
        <f t="shared" si="107"/>
        <v>-5.7554885465362186E-2</v>
      </c>
      <c r="Q418" s="445">
        <f t="shared" si="94"/>
        <v>5.9553970131658196E-2</v>
      </c>
      <c r="R418" s="445">
        <f t="shared" si="95"/>
        <v>0</v>
      </c>
      <c r="S418" s="445">
        <f t="shared" ref="R418:X454" si="108">$N418*S$5</f>
        <v>2.2435470592871549E-3</v>
      </c>
      <c r="T418" s="445">
        <f t="shared" si="108"/>
        <v>5.196012401396137E-2</v>
      </c>
      <c r="U418" s="445">
        <f t="shared" si="108"/>
        <v>-6.8000523664949611E-3</v>
      </c>
      <c r="V418" s="445">
        <f t="shared" si="108"/>
        <v>-2.5582564776570105E-4</v>
      </c>
      <c r="W418" s="445">
        <f t="shared" si="108"/>
        <v>-2.1152296000930521E-2</v>
      </c>
      <c r="X418" s="445">
        <f t="shared" si="108"/>
        <v>1.6689888199535555E-3</v>
      </c>
      <c r="Y418" s="43"/>
      <c r="Z418" s="388">
        <f t="shared" si="103"/>
        <v>1.2706627645308932</v>
      </c>
      <c r="AA418" s="43"/>
      <c r="AB418" s="462">
        <f>IF('TAR_Tab 2_Volumina'!C421="storage",1,0)</f>
        <v>0</v>
      </c>
      <c r="AC418" s="389">
        <f t="shared" si="102"/>
        <v>1.2706627645308932</v>
      </c>
      <c r="AD418" s="389">
        <f t="shared" si="104"/>
        <v>1.356167093943828</v>
      </c>
      <c r="AE418" s="43"/>
      <c r="AF418" s="1027">
        <f t="shared" si="105"/>
        <v>1.356167093943828</v>
      </c>
      <c r="AG418" s="392">
        <f t="shared" si="106"/>
        <v>1.3560000000000001</v>
      </c>
      <c r="AH418" s="392">
        <f>AG418+'TAR_Tab 14_Overige tarieven'!$AA$14+'TAR_Tab 14_Overige tarieven'!$AA$15</f>
        <v>1.536</v>
      </c>
      <c r="AI418" s="43"/>
    </row>
    <row r="419" spans="1:35">
      <c r="A419" s="96">
        <v>301184</v>
      </c>
      <c r="B419" s="1286" t="s">
        <v>446</v>
      </c>
      <c r="C419" s="1022"/>
      <c r="D419" s="1358"/>
      <c r="E419" s="1022"/>
      <c r="F419" s="1032">
        <v>2.3351956269202563</v>
      </c>
      <c r="G419" s="390">
        <f t="shared" si="96"/>
        <v>2.2221721585773158</v>
      </c>
      <c r="H419" s="390">
        <f t="shared" si="97"/>
        <v>2.2741065563585021</v>
      </c>
      <c r="I419" s="387"/>
      <c r="J419" s="388">
        <f t="shared" si="98"/>
        <v>2.1604012285405769</v>
      </c>
      <c r="K419" s="388">
        <f t="shared" si="99"/>
        <v>2.3878118841764273</v>
      </c>
      <c r="L419" s="1316">
        <v>2.29168839978832</v>
      </c>
      <c r="M419" s="61" t="b">
        <f t="shared" si="100"/>
        <v>1</v>
      </c>
      <c r="N419" s="857">
        <f t="shared" si="101"/>
        <v>2.29168839978832</v>
      </c>
      <c r="O419" s="15"/>
      <c r="P419" s="445">
        <f t="shared" si="107"/>
        <v>-0.10628360115884294</v>
      </c>
      <c r="Q419" s="445">
        <f t="shared" si="94"/>
        <v>0.10997520640898688</v>
      </c>
      <c r="R419" s="445">
        <f t="shared" si="108"/>
        <v>0</v>
      </c>
      <c r="S419" s="445">
        <f t="shared" si="108"/>
        <v>4.1430411841211438E-3</v>
      </c>
      <c r="T419" s="445">
        <f t="shared" si="108"/>
        <v>9.595204737549963E-2</v>
      </c>
      <c r="U419" s="445">
        <f t="shared" si="108"/>
        <v>-1.2557301569382047E-2</v>
      </c>
      <c r="V419" s="445">
        <f t="shared" si="108"/>
        <v>-4.7241986311824042E-4</v>
      </c>
      <c r="W419" s="445">
        <f t="shared" si="108"/>
        <v>-3.9060840336649964E-2</v>
      </c>
      <c r="X419" s="445">
        <f t="shared" si="108"/>
        <v>3.0820344901088641E-3</v>
      </c>
      <c r="Y419" s="43"/>
      <c r="Z419" s="388">
        <f t="shared" si="103"/>
        <v>2.3464665663190432</v>
      </c>
      <c r="AA419" s="43"/>
      <c r="AB419" s="462">
        <f>IF('TAR_Tab 2_Volumina'!C422="storage",1,0)</f>
        <v>0</v>
      </c>
      <c r="AC419" s="389">
        <f t="shared" si="102"/>
        <v>2.3464665663190432</v>
      </c>
      <c r="AD419" s="389">
        <f t="shared" si="104"/>
        <v>2.50436294594346</v>
      </c>
      <c r="AE419" s="43"/>
      <c r="AF419" s="1027">
        <f t="shared" si="105"/>
        <v>2.50436294594346</v>
      </c>
      <c r="AG419" s="392">
        <f t="shared" si="106"/>
        <v>2.504</v>
      </c>
      <c r="AH419" s="392">
        <f>AG419+'TAR_Tab 14_Overige tarieven'!$AA$14+'TAR_Tab 14_Overige tarieven'!$AA$15</f>
        <v>2.6840000000000002</v>
      </c>
      <c r="AI419" s="43"/>
    </row>
    <row r="420" spans="1:35">
      <c r="A420" s="96">
        <v>301185</v>
      </c>
      <c r="B420" s="1286" t="s">
        <v>824</v>
      </c>
      <c r="C420" s="1022"/>
      <c r="D420" s="1358"/>
      <c r="E420" s="1022"/>
      <c r="F420" s="1032">
        <v>0.7520751942899867</v>
      </c>
      <c r="G420" s="390">
        <f t="shared" si="96"/>
        <v>0.71567475488635135</v>
      </c>
      <c r="H420" s="390">
        <f t="shared" si="97"/>
        <v>0.73240079353225751</v>
      </c>
      <c r="I420" s="387"/>
      <c r="J420" s="388">
        <f t="shared" si="98"/>
        <v>0.69578075385564464</v>
      </c>
      <c r="K420" s="388">
        <f t="shared" si="99"/>
        <v>0.76902083320887038</v>
      </c>
      <c r="L420" s="1316">
        <v>0.73240079353225751</v>
      </c>
      <c r="M420" s="61" t="b">
        <f t="shared" si="100"/>
        <v>1</v>
      </c>
      <c r="N420" s="857">
        <f t="shared" si="101"/>
        <v>0.73240079353225751</v>
      </c>
      <c r="O420" s="15"/>
      <c r="P420" s="445">
        <f t="shared" si="107"/>
        <v>-3.3967180632145592E-2</v>
      </c>
      <c r="Q420" s="445">
        <f t="shared" si="94"/>
        <v>3.5146980911652609E-2</v>
      </c>
      <c r="R420" s="445">
        <f t="shared" si="108"/>
        <v>0</v>
      </c>
      <c r="S420" s="445">
        <f t="shared" si="108"/>
        <v>1.3240747089209115E-3</v>
      </c>
      <c r="T420" s="445">
        <f t="shared" si="108"/>
        <v>3.0665318917419984E-2</v>
      </c>
      <c r="U420" s="445">
        <f t="shared" si="108"/>
        <v>-4.0131885446942897E-3</v>
      </c>
      <c r="V420" s="445">
        <f t="shared" si="108"/>
        <v>-1.5098068422398061E-4</v>
      </c>
      <c r="W420" s="445">
        <f t="shared" si="108"/>
        <v>-1.2483455630897177E-2</v>
      </c>
      <c r="X420" s="445">
        <f t="shared" si="108"/>
        <v>9.8498753428172031E-4</v>
      </c>
      <c r="Y420" s="43"/>
      <c r="Z420" s="388">
        <f t="shared" si="103"/>
        <v>0.7499073501125717</v>
      </c>
      <c r="AA420" s="43"/>
      <c r="AB420" s="462">
        <f>IF('TAR_Tab 2_Volumina'!C423="storage",1,0)</f>
        <v>1</v>
      </c>
      <c r="AC420" s="389">
        <f t="shared" si="102"/>
        <v>0.56243051258442878</v>
      </c>
      <c r="AD420" s="389">
        <f t="shared" si="104"/>
        <v>0.56243051258442878</v>
      </c>
      <c r="AE420" s="43"/>
      <c r="AF420" s="1027">
        <f t="shared" si="105"/>
        <v>0.56243051258442878</v>
      </c>
      <c r="AG420" s="392">
        <f t="shared" si="106"/>
        <v>0.56200000000000006</v>
      </c>
      <c r="AH420" s="392">
        <f>AG420+'TAR_Tab 14_Overige tarieven'!$AA$14+'TAR_Tab 14_Overige tarieven'!$AA$15</f>
        <v>0.7420000000000001</v>
      </c>
      <c r="AI420" s="43"/>
    </row>
    <row r="421" spans="1:35">
      <c r="A421" s="96">
        <v>301191</v>
      </c>
      <c r="B421" s="1286" t="s">
        <v>825</v>
      </c>
      <c r="C421" s="1022"/>
      <c r="D421" s="1358"/>
      <c r="E421" s="1022"/>
      <c r="F421" s="1032">
        <v>2.0798205344734133</v>
      </c>
      <c r="G421" s="390">
        <f t="shared" si="96"/>
        <v>1.9791572206049002</v>
      </c>
      <c r="H421" s="390">
        <f t="shared" si="97"/>
        <v>2.0254121149296536</v>
      </c>
      <c r="I421" s="387"/>
      <c r="J421" s="388">
        <f t="shared" si="98"/>
        <v>1.9241415091831708</v>
      </c>
      <c r="K421" s="388">
        <f t="shared" si="99"/>
        <v>2.1266827206761363</v>
      </c>
      <c r="L421" s="1316">
        <v>2.0410712222770999</v>
      </c>
      <c r="M421" s="61" t="b">
        <f t="shared" si="100"/>
        <v>1</v>
      </c>
      <c r="N421" s="857">
        <f t="shared" si="101"/>
        <v>2.0410712222770999</v>
      </c>
      <c r="O421" s="15"/>
      <c r="P421" s="445">
        <f t="shared" si="107"/>
        <v>-9.4660513072077818E-2</v>
      </c>
      <c r="Q421" s="445">
        <f t="shared" si="94"/>
        <v>9.794840737776607E-2</v>
      </c>
      <c r="R421" s="445">
        <f t="shared" si="108"/>
        <v>0</v>
      </c>
      <c r="S421" s="445">
        <f t="shared" si="108"/>
        <v>3.6899615734842474E-3</v>
      </c>
      <c r="T421" s="445">
        <f t="shared" si="108"/>
        <v>8.5458809598543656E-2</v>
      </c>
      <c r="U421" s="445">
        <f t="shared" si="108"/>
        <v>-1.1184045293892572E-2</v>
      </c>
      <c r="V421" s="445">
        <f t="shared" si="108"/>
        <v>-4.2075641153125048E-4</v>
      </c>
      <c r="W421" s="445">
        <f t="shared" si="108"/>
        <v>-3.4789178640717892E-2</v>
      </c>
      <c r="X421" s="445">
        <f t="shared" si="108"/>
        <v>2.7449857076589194E-3</v>
      </c>
      <c r="Y421" s="43"/>
      <c r="Z421" s="388">
        <f t="shared" si="103"/>
        <v>2.0898588931163333</v>
      </c>
      <c r="AA421" s="43"/>
      <c r="AB421" s="462">
        <f>IF('TAR_Tab 2_Volumina'!C424="storage",1,0)</f>
        <v>0</v>
      </c>
      <c r="AC421" s="389">
        <f t="shared" si="102"/>
        <v>2.0898588931163333</v>
      </c>
      <c r="AD421" s="389">
        <f t="shared" si="104"/>
        <v>2.2304878532240453</v>
      </c>
      <c r="AE421" s="43"/>
      <c r="AF421" s="1027">
        <f t="shared" si="105"/>
        <v>2.2304878532240453</v>
      </c>
      <c r="AG421" s="392">
        <f t="shared" si="106"/>
        <v>2.23</v>
      </c>
      <c r="AH421" s="392">
        <f>AG421+'TAR_Tab 14_Overige tarieven'!$AA$14+'TAR_Tab 14_Overige tarieven'!$AA$15</f>
        <v>2.41</v>
      </c>
      <c r="AI421" s="43"/>
    </row>
    <row r="422" spans="1:35">
      <c r="A422" s="96">
        <v>301193</v>
      </c>
      <c r="B422" s="1286" t="s">
        <v>324</v>
      </c>
      <c r="C422" s="1022"/>
      <c r="D422" s="1358"/>
      <c r="E422" s="1022"/>
      <c r="F422" s="1032">
        <v>2.0558226052294888</v>
      </c>
      <c r="G422" s="390">
        <f t="shared" si="96"/>
        <v>1.9563207911363816</v>
      </c>
      <c r="H422" s="390">
        <f t="shared" si="97"/>
        <v>2.0020419751420029</v>
      </c>
      <c r="I422" s="387"/>
      <c r="J422" s="388">
        <f t="shared" si="98"/>
        <v>1.9019398763849027</v>
      </c>
      <c r="K422" s="388">
        <f t="shared" si="99"/>
        <v>2.1021440738991033</v>
      </c>
      <c r="L422" s="1316">
        <v>2.0175204004815939</v>
      </c>
      <c r="M422" s="61" t="b">
        <f t="shared" si="100"/>
        <v>1</v>
      </c>
      <c r="N422" s="857">
        <f t="shared" si="101"/>
        <v>2.0175204004815939</v>
      </c>
      <c r="O422" s="15"/>
      <c r="P422" s="445">
        <f t="shared" si="107"/>
        <v>-9.3568276382784574E-2</v>
      </c>
      <c r="Q422" s="445">
        <f t="shared" si="94"/>
        <v>9.6818233446484103E-2</v>
      </c>
      <c r="R422" s="445">
        <f t="shared" si="108"/>
        <v>0</v>
      </c>
      <c r="S422" s="445">
        <f t="shared" si="108"/>
        <v>3.6473850937901965E-3</v>
      </c>
      <c r="T422" s="445">
        <f t="shared" si="108"/>
        <v>8.4472746410868105E-2</v>
      </c>
      <c r="U422" s="445">
        <f t="shared" si="108"/>
        <v>-1.1054998617424575E-2</v>
      </c>
      <c r="V422" s="445">
        <f t="shared" si="108"/>
        <v>-4.1590152985973583E-4</v>
      </c>
      <c r="W422" s="445">
        <f t="shared" si="108"/>
        <v>-3.4387765041017281E-2</v>
      </c>
      <c r="X422" s="445">
        <f t="shared" si="108"/>
        <v>2.7133127956474688E-3</v>
      </c>
      <c r="Y422" s="43"/>
      <c r="Z422" s="388">
        <f t="shared" si="103"/>
        <v>2.0657451366572976</v>
      </c>
      <c r="AA422" s="43"/>
      <c r="AB422" s="462">
        <f>IF('TAR_Tab 2_Volumina'!C425="storage",1,0)</f>
        <v>0</v>
      </c>
      <c r="AC422" s="389">
        <f t="shared" si="102"/>
        <v>2.0657451366572976</v>
      </c>
      <c r="AD422" s="389">
        <f t="shared" si="104"/>
        <v>2.2047514549176128</v>
      </c>
      <c r="AE422" s="43"/>
      <c r="AF422" s="1027">
        <f t="shared" si="105"/>
        <v>2.2047514549176128</v>
      </c>
      <c r="AG422" s="392">
        <f t="shared" si="106"/>
        <v>2.2050000000000001</v>
      </c>
      <c r="AH422" s="392">
        <f>AG422+'TAR_Tab 14_Overige tarieven'!$AA$14+'TAR_Tab 14_Overige tarieven'!$AA$15</f>
        <v>2.3850000000000002</v>
      </c>
      <c r="AI422" s="43"/>
    </row>
    <row r="423" spans="1:35">
      <c r="A423" s="96">
        <v>301194</v>
      </c>
      <c r="B423" s="1286" t="s">
        <v>325</v>
      </c>
      <c r="C423" s="1022"/>
      <c r="D423" s="1358"/>
      <c r="E423" s="1022"/>
      <c r="F423" s="1032">
        <v>1.606861345624411</v>
      </c>
      <c r="G423" s="390">
        <f t="shared" si="96"/>
        <v>1.5290892564961895</v>
      </c>
      <c r="H423" s="390">
        <f t="shared" si="97"/>
        <v>1.5648256099480542</v>
      </c>
      <c r="I423" s="387"/>
      <c r="J423" s="388">
        <f t="shared" si="98"/>
        <v>1.4865843294506513</v>
      </c>
      <c r="K423" s="388">
        <f t="shared" si="99"/>
        <v>1.6430668904454571</v>
      </c>
      <c r="L423" s="1316">
        <v>1.5769237760573553</v>
      </c>
      <c r="M423" s="61" t="b">
        <f t="shared" si="100"/>
        <v>1</v>
      </c>
      <c r="N423" s="857">
        <f t="shared" si="101"/>
        <v>1.5769237760573553</v>
      </c>
      <c r="O423" s="15"/>
      <c r="P423" s="445">
        <f t="shared" si="107"/>
        <v>-7.3134348320590889E-2</v>
      </c>
      <c r="Q423" s="445">
        <f t="shared" si="94"/>
        <v>7.5674562815418289E-2</v>
      </c>
      <c r="R423" s="445">
        <f t="shared" si="108"/>
        <v>0</v>
      </c>
      <c r="S423" s="445">
        <f t="shared" si="108"/>
        <v>2.8508501195140309E-3</v>
      </c>
      <c r="T423" s="445">
        <f t="shared" si="108"/>
        <v>6.60251476081056E-2</v>
      </c>
      <c r="U423" s="445">
        <f t="shared" si="108"/>
        <v>-8.6407503785025774E-3</v>
      </c>
      <c r="V423" s="445">
        <f t="shared" si="108"/>
        <v>-3.2507478525515356E-4</v>
      </c>
      <c r="W423" s="445">
        <f t="shared" si="108"/>
        <v>-2.6877985613285405E-2</v>
      </c>
      <c r="X423" s="445">
        <f t="shared" si="108"/>
        <v>2.1207654000999438E-3</v>
      </c>
      <c r="Y423" s="43"/>
      <c r="Z423" s="388">
        <f t="shared" si="103"/>
        <v>1.6146169429028592</v>
      </c>
      <c r="AA423" s="43"/>
      <c r="AB423" s="462">
        <f>IF('TAR_Tab 2_Volumina'!C426="storage",1,0)</f>
        <v>0</v>
      </c>
      <c r="AC423" s="389">
        <f t="shared" si="102"/>
        <v>1.6146169429028592</v>
      </c>
      <c r="AD423" s="389">
        <f t="shared" si="104"/>
        <v>1.7232663366014616</v>
      </c>
      <c r="AE423" s="43"/>
      <c r="AF423" s="1027">
        <f t="shared" si="105"/>
        <v>1.7232663366014616</v>
      </c>
      <c r="AG423" s="392">
        <f t="shared" si="106"/>
        <v>1.7230000000000001</v>
      </c>
      <c r="AH423" s="392">
        <f>AG423+'TAR_Tab 14_Overige tarieven'!$AA$14+'TAR_Tab 14_Overige tarieven'!$AA$15</f>
        <v>1.903</v>
      </c>
      <c r="AI423" s="43"/>
    </row>
    <row r="424" spans="1:35">
      <c r="A424" s="96">
        <v>301195</v>
      </c>
      <c r="B424" s="1286" t="s">
        <v>326</v>
      </c>
      <c r="C424" s="1022"/>
      <c r="D424" s="1358"/>
      <c r="E424" s="1022"/>
      <c r="F424" s="1032">
        <v>1.8298421048492046</v>
      </c>
      <c r="G424" s="390">
        <f t="shared" si="96"/>
        <v>1.7412777469745031</v>
      </c>
      <c r="H424" s="390">
        <f t="shared" si="97"/>
        <v>1.7819731588083003</v>
      </c>
      <c r="I424" s="387"/>
      <c r="J424" s="388">
        <f t="shared" si="98"/>
        <v>1.6928745008678852</v>
      </c>
      <c r="K424" s="388">
        <f t="shared" si="99"/>
        <v>1.8710718167487155</v>
      </c>
      <c r="L424" s="1316">
        <v>1.7957501619072556</v>
      </c>
      <c r="M424" s="61" t="b">
        <f t="shared" si="100"/>
        <v>1</v>
      </c>
      <c r="N424" s="857">
        <f t="shared" si="101"/>
        <v>1.7957501619072556</v>
      </c>
      <c r="O424" s="15"/>
      <c r="P424" s="445">
        <f t="shared" si="107"/>
        <v>-8.3283047558606896E-2</v>
      </c>
      <c r="Q424" s="445">
        <f t="shared" si="94"/>
        <v>8.6175762260246078E-2</v>
      </c>
      <c r="R424" s="445">
        <f t="shared" si="108"/>
        <v>0</v>
      </c>
      <c r="S424" s="445">
        <f t="shared" si="108"/>
        <v>3.2464565766712355E-3</v>
      </c>
      <c r="T424" s="445">
        <f t="shared" si="108"/>
        <v>7.5187318060257136E-2</v>
      </c>
      <c r="U424" s="445">
        <f t="shared" si="108"/>
        <v>-9.839809080684327E-3</v>
      </c>
      <c r="V424" s="445">
        <f t="shared" si="108"/>
        <v>-3.7018472745297505E-4</v>
      </c>
      <c r="W424" s="445">
        <f t="shared" si="108"/>
        <v>-3.0607786977170058E-2</v>
      </c>
      <c r="X424" s="445">
        <f t="shared" si="108"/>
        <v>2.4150595408729907E-3</v>
      </c>
      <c r="Y424" s="43"/>
      <c r="Z424" s="388">
        <f t="shared" si="103"/>
        <v>1.8386739300013888</v>
      </c>
      <c r="AA424" s="43"/>
      <c r="AB424" s="462">
        <f>IF('TAR_Tab 2_Volumina'!C427="storage",1,0)</f>
        <v>0</v>
      </c>
      <c r="AC424" s="389">
        <f t="shared" si="102"/>
        <v>1.8386739300013888</v>
      </c>
      <c r="AD424" s="389">
        <f t="shared" si="104"/>
        <v>1.9624003708653852</v>
      </c>
      <c r="AE424" s="43"/>
      <c r="AF424" s="1027">
        <f t="shared" si="105"/>
        <v>1.9624003708653852</v>
      </c>
      <c r="AG424" s="392">
        <f t="shared" si="106"/>
        <v>1.962</v>
      </c>
      <c r="AH424" s="392">
        <f>AG424+'TAR_Tab 14_Overige tarieven'!$AA$14+'TAR_Tab 14_Overige tarieven'!$AA$15</f>
        <v>2.1419999999999999</v>
      </c>
      <c r="AI424" s="43"/>
    </row>
    <row r="425" spans="1:35">
      <c r="A425" s="96">
        <v>301196</v>
      </c>
      <c r="B425" s="1286" t="s">
        <v>327</v>
      </c>
      <c r="C425" s="1022"/>
      <c r="D425" s="1358"/>
      <c r="E425" s="1022"/>
      <c r="F425" s="1032">
        <v>1.8118436579162616</v>
      </c>
      <c r="G425" s="390">
        <f t="shared" si="96"/>
        <v>1.7241504248731145</v>
      </c>
      <c r="H425" s="390">
        <f t="shared" si="97"/>
        <v>1.764445553967563</v>
      </c>
      <c r="I425" s="387"/>
      <c r="J425" s="388">
        <f t="shared" si="98"/>
        <v>1.6762232762691847</v>
      </c>
      <c r="K425" s="388">
        <f t="shared" si="99"/>
        <v>1.8526678316659413</v>
      </c>
      <c r="L425" s="1316">
        <v>1.7780870455606268</v>
      </c>
      <c r="M425" s="61" t="b">
        <f t="shared" si="100"/>
        <v>1</v>
      </c>
      <c r="N425" s="857">
        <f t="shared" si="101"/>
        <v>1.7780870455606268</v>
      </c>
      <c r="O425" s="15"/>
      <c r="P425" s="445">
        <f t="shared" si="107"/>
        <v>-8.2463870041636994E-2</v>
      </c>
      <c r="Q425" s="445">
        <f t="shared" si="94"/>
        <v>8.5328131811784641E-2</v>
      </c>
      <c r="R425" s="445">
        <f t="shared" si="108"/>
        <v>0</v>
      </c>
      <c r="S425" s="445">
        <f t="shared" si="108"/>
        <v>3.2145242169006986E-3</v>
      </c>
      <c r="T425" s="445">
        <f t="shared" si="108"/>
        <v>7.4447770669500507E-2</v>
      </c>
      <c r="U425" s="445">
        <f t="shared" si="108"/>
        <v>-9.7430240733333336E-3</v>
      </c>
      <c r="V425" s="445">
        <f t="shared" si="108"/>
        <v>-3.6654356619933925E-4</v>
      </c>
      <c r="W425" s="445">
        <f t="shared" si="108"/>
        <v>-3.0306726777394613E-2</v>
      </c>
      <c r="X425" s="445">
        <f t="shared" si="108"/>
        <v>2.391304856864404E-3</v>
      </c>
      <c r="Y425" s="43"/>
      <c r="Z425" s="388">
        <f t="shared" si="103"/>
        <v>1.8205886126571127</v>
      </c>
      <c r="AA425" s="43"/>
      <c r="AB425" s="462">
        <f>IF('TAR_Tab 2_Volumina'!C428="storage",1,0)</f>
        <v>0</v>
      </c>
      <c r="AC425" s="389">
        <f t="shared" si="102"/>
        <v>1.8205886126571127</v>
      </c>
      <c r="AD425" s="389">
        <f t="shared" si="104"/>
        <v>1.9430980721355617</v>
      </c>
      <c r="AE425" s="43"/>
      <c r="AF425" s="1027">
        <f t="shared" si="105"/>
        <v>1.9430980721355617</v>
      </c>
      <c r="AG425" s="392">
        <f t="shared" si="106"/>
        <v>1.9430000000000001</v>
      </c>
      <c r="AH425" s="392">
        <f>AG425+'TAR_Tab 14_Overige tarieven'!$AA$14+'TAR_Tab 14_Overige tarieven'!$AA$15</f>
        <v>2.1230000000000002</v>
      </c>
      <c r="AI425" s="43"/>
    </row>
    <row r="426" spans="1:35">
      <c r="A426" s="96">
        <v>301197</v>
      </c>
      <c r="B426" s="1286" t="s">
        <v>826</v>
      </c>
      <c r="C426" s="1022"/>
      <c r="D426" s="1358"/>
      <c r="E426" s="1022"/>
      <c r="F426" s="1032">
        <v>2.1488145810496948</v>
      </c>
      <c r="G426" s="390">
        <f t="shared" si="96"/>
        <v>2.0448119553268898</v>
      </c>
      <c r="H426" s="390">
        <f t="shared" si="97"/>
        <v>2.0926012668191469</v>
      </c>
      <c r="I426" s="387"/>
      <c r="J426" s="388">
        <f t="shared" si="98"/>
        <v>1.9879712034781896</v>
      </c>
      <c r="K426" s="388">
        <f t="shared" si="99"/>
        <v>2.1972313301601045</v>
      </c>
      <c r="L426" s="1316">
        <v>2.1087798349391766</v>
      </c>
      <c r="M426" s="61" t="b">
        <f t="shared" si="100"/>
        <v>1</v>
      </c>
      <c r="N426" s="857">
        <f t="shared" si="101"/>
        <v>2.1087798349391766</v>
      </c>
      <c r="O426" s="15"/>
      <c r="P426" s="445">
        <f t="shared" si="107"/>
        <v>-9.7800693553795781E-2</v>
      </c>
      <c r="Q426" s="445">
        <f t="shared" si="94"/>
        <v>0.10119765743020158</v>
      </c>
      <c r="R426" s="445">
        <f t="shared" si="108"/>
        <v>0</v>
      </c>
      <c r="S426" s="445">
        <f t="shared" si="108"/>
        <v>3.812368952604638E-3</v>
      </c>
      <c r="T426" s="445">
        <f t="shared" si="108"/>
        <v>8.8293741263110723E-2</v>
      </c>
      <c r="U426" s="445">
        <f t="shared" si="108"/>
        <v>-1.1555054488738047E-2</v>
      </c>
      <c r="V426" s="445">
        <f t="shared" si="108"/>
        <v>-4.3471419633685443E-4</v>
      </c>
      <c r="W426" s="445">
        <f t="shared" si="108"/>
        <v>-3.5943242739857086E-2</v>
      </c>
      <c r="X426" s="445">
        <f t="shared" si="108"/>
        <v>2.8360453296918352E-3</v>
      </c>
      <c r="Y426" s="43"/>
      <c r="Z426" s="388">
        <f t="shared" si="103"/>
        <v>2.1591859429360576</v>
      </c>
      <c r="AA426" s="43"/>
      <c r="AB426" s="462">
        <f>IF('TAR_Tab 2_Volumina'!C429="storage",1,0)</f>
        <v>0</v>
      </c>
      <c r="AC426" s="389">
        <f t="shared" si="102"/>
        <v>2.1591859429360576</v>
      </c>
      <c r="AD426" s="389">
        <f t="shared" si="104"/>
        <v>2.3044799983550348</v>
      </c>
      <c r="AE426" s="43"/>
      <c r="AF426" s="1027">
        <f t="shared" si="105"/>
        <v>2.3044799983550348</v>
      </c>
      <c r="AG426" s="392">
        <f t="shared" si="106"/>
        <v>2.3039999999999998</v>
      </c>
      <c r="AH426" s="392">
        <f>AG426+'TAR_Tab 14_Overige tarieven'!$AA$14+'TAR_Tab 14_Overige tarieven'!$AA$15</f>
        <v>2.484</v>
      </c>
      <c r="AI426" s="43"/>
    </row>
    <row r="427" spans="1:35">
      <c r="A427" s="96">
        <v>301198</v>
      </c>
      <c r="B427" s="1286" t="s">
        <v>827</v>
      </c>
      <c r="C427" s="1022"/>
      <c r="D427" s="1358"/>
      <c r="E427" s="1022"/>
      <c r="F427" s="1032">
        <v>1.3417124601326031</v>
      </c>
      <c r="G427" s="390">
        <f t="shared" si="96"/>
        <v>1.2767735770621851</v>
      </c>
      <c r="H427" s="390">
        <f t="shared" si="97"/>
        <v>1.3066130593775913</v>
      </c>
      <c r="I427" s="387"/>
      <c r="J427" s="388">
        <f t="shared" si="98"/>
        <v>1.2412824064087118</v>
      </c>
      <c r="K427" s="388">
        <f t="shared" si="99"/>
        <v>1.3719437123464708</v>
      </c>
      <c r="L427" s="1316">
        <v>1.3167149018656223</v>
      </c>
      <c r="M427" s="61" t="b">
        <f t="shared" si="100"/>
        <v>1</v>
      </c>
      <c r="N427" s="857">
        <f t="shared" si="101"/>
        <v>1.3167149018656223</v>
      </c>
      <c r="O427" s="15"/>
      <c r="P427" s="445">
        <f t="shared" si="107"/>
        <v>-6.1066417878939121E-2</v>
      </c>
      <c r="Q427" s="445">
        <f t="shared" si="94"/>
        <v>6.3187470481517571E-2</v>
      </c>
      <c r="R427" s="445">
        <f t="shared" si="108"/>
        <v>0</v>
      </c>
      <c r="S427" s="445">
        <f t="shared" si="108"/>
        <v>2.3804301085082915E-3</v>
      </c>
      <c r="T427" s="445">
        <f t="shared" si="108"/>
        <v>5.5130309450231771E-2</v>
      </c>
      <c r="U427" s="445">
        <f t="shared" si="108"/>
        <v>-7.2149364220516045E-3</v>
      </c>
      <c r="V427" s="445">
        <f t="shared" si="108"/>
        <v>-2.7143405436906776E-4</v>
      </c>
      <c r="W427" s="445">
        <f t="shared" si="108"/>
        <v>-2.2442837584468946E-2</v>
      </c>
      <c r="X427" s="445">
        <f t="shared" si="108"/>
        <v>1.7708169843531098E-3</v>
      </c>
      <c r="Y427" s="43"/>
      <c r="Z427" s="388">
        <f t="shared" si="103"/>
        <v>1.3481883029504043</v>
      </c>
      <c r="AA427" s="43"/>
      <c r="AB427" s="462">
        <f>IF('TAR_Tab 2_Volumina'!C430="storage",1,0)</f>
        <v>1</v>
      </c>
      <c r="AC427" s="389">
        <f t="shared" si="102"/>
        <v>1.0111412272128031</v>
      </c>
      <c r="AD427" s="389">
        <f t="shared" si="104"/>
        <v>1.0111412272128031</v>
      </c>
      <c r="AE427" s="43"/>
      <c r="AF427" s="1027">
        <f t="shared" si="105"/>
        <v>1.0111412272128031</v>
      </c>
      <c r="AG427" s="392">
        <f t="shared" si="106"/>
        <v>1.0109999999999999</v>
      </c>
      <c r="AH427" s="392">
        <f>AG427+'TAR_Tab 14_Overige tarieven'!$AA$14+'TAR_Tab 14_Overige tarieven'!$AA$15</f>
        <v>1.1909999999999998</v>
      </c>
      <c r="AI427" s="43"/>
    </row>
    <row r="428" spans="1:35">
      <c r="A428" s="96">
        <v>301199</v>
      </c>
      <c r="B428" s="1286" t="s">
        <v>828</v>
      </c>
      <c r="C428" s="1022"/>
      <c r="D428" s="1358"/>
      <c r="E428" s="1022"/>
      <c r="F428" s="1032">
        <v>1.3850299568455653</v>
      </c>
      <c r="G428" s="390">
        <f t="shared" si="96"/>
        <v>1.31799450693424</v>
      </c>
      <c r="H428" s="390">
        <f t="shared" si="97"/>
        <v>1.3487973638291642</v>
      </c>
      <c r="I428" s="387"/>
      <c r="J428" s="388">
        <f t="shared" si="98"/>
        <v>1.2813574956377058</v>
      </c>
      <c r="K428" s="388">
        <f t="shared" si="99"/>
        <v>1.4162372320206225</v>
      </c>
      <c r="L428" s="1316">
        <v>1.3592253466354618</v>
      </c>
      <c r="M428" s="61" t="b">
        <f t="shared" si="100"/>
        <v>1</v>
      </c>
      <c r="N428" s="857">
        <f t="shared" si="101"/>
        <v>1.3592253466354618</v>
      </c>
      <c r="O428" s="15"/>
      <c r="P428" s="445">
        <f t="shared" si="107"/>
        <v>-6.3037961286594349E-2</v>
      </c>
      <c r="Q428" s="445">
        <f t="shared" si="94"/>
        <v>6.5227492562413378E-2</v>
      </c>
      <c r="R428" s="445">
        <f t="shared" si="108"/>
        <v>0</v>
      </c>
      <c r="S428" s="445">
        <f t="shared" si="108"/>
        <v>2.4572828444443902E-3</v>
      </c>
      <c r="T428" s="445">
        <f t="shared" si="108"/>
        <v>5.6910204226016281E-2</v>
      </c>
      <c r="U428" s="445">
        <f t="shared" si="108"/>
        <v>-7.4478723110986238E-3</v>
      </c>
      <c r="V428" s="445">
        <f t="shared" si="108"/>
        <v>-2.8019736551604483E-4</v>
      </c>
      <c r="W428" s="445">
        <f t="shared" si="108"/>
        <v>-2.3167409780212506E-2</v>
      </c>
      <c r="X428" s="445">
        <f t="shared" si="108"/>
        <v>1.8279882197543165E-3</v>
      </c>
      <c r="Y428" s="43"/>
      <c r="Z428" s="388">
        <f t="shared" si="103"/>
        <v>1.3917148737446687</v>
      </c>
      <c r="AA428" s="43"/>
      <c r="AB428" s="462">
        <f>IF('TAR_Tab 2_Volumina'!C431="storage",1,0)</f>
        <v>0</v>
      </c>
      <c r="AC428" s="389">
        <f t="shared" si="102"/>
        <v>1.3917148737446687</v>
      </c>
      <c r="AD428" s="389">
        <f t="shared" si="104"/>
        <v>1.4853649360076302</v>
      </c>
      <c r="AE428" s="43"/>
      <c r="AF428" s="1027">
        <f t="shared" si="105"/>
        <v>1.4853649360076302</v>
      </c>
      <c r="AG428" s="392">
        <f t="shared" si="106"/>
        <v>1.4850000000000001</v>
      </c>
      <c r="AH428" s="392">
        <f>AG428+'TAR_Tab 14_Overige tarieven'!$AA$14+'TAR_Tab 14_Overige tarieven'!$AA$15</f>
        <v>1.665</v>
      </c>
      <c r="AI428" s="43"/>
    </row>
    <row r="429" spans="1:35">
      <c r="A429" s="96">
        <v>301203</v>
      </c>
      <c r="B429" s="1286" t="s">
        <v>328</v>
      </c>
      <c r="C429" s="1022"/>
      <c r="D429" s="1358"/>
      <c r="E429" s="1022"/>
      <c r="F429" s="1032">
        <v>2.0678215698514499</v>
      </c>
      <c r="G429" s="390">
        <f t="shared" si="96"/>
        <v>1.9677390058706397</v>
      </c>
      <c r="H429" s="390">
        <f t="shared" si="97"/>
        <v>2.0137270450358269</v>
      </c>
      <c r="I429" s="387"/>
      <c r="J429" s="388">
        <f t="shared" si="98"/>
        <v>1.9130406927840355</v>
      </c>
      <c r="K429" s="388">
        <f t="shared" si="99"/>
        <v>2.1144133972876182</v>
      </c>
      <c r="L429" s="1316">
        <v>2.0292958113793458</v>
      </c>
      <c r="M429" s="61" t="b">
        <f t="shared" si="100"/>
        <v>1</v>
      </c>
      <c r="N429" s="857">
        <f t="shared" si="101"/>
        <v>2.0292958113793458</v>
      </c>
      <c r="O429" s="15"/>
      <c r="P429" s="445">
        <f t="shared" si="107"/>
        <v>-9.4114394727431147E-2</v>
      </c>
      <c r="Q429" s="445">
        <f t="shared" si="94"/>
        <v>9.7383320412125038E-2</v>
      </c>
      <c r="R429" s="445">
        <f t="shared" si="108"/>
        <v>0</v>
      </c>
      <c r="S429" s="445">
        <f t="shared" si="108"/>
        <v>3.6686733336372197E-3</v>
      </c>
      <c r="T429" s="445">
        <f t="shared" si="108"/>
        <v>8.4965778004705839E-2</v>
      </c>
      <c r="U429" s="445">
        <f t="shared" si="108"/>
        <v>-1.1119521955658568E-2</v>
      </c>
      <c r="V429" s="445">
        <f t="shared" si="108"/>
        <v>-4.1832897069549294E-4</v>
      </c>
      <c r="W429" s="445">
        <f t="shared" si="108"/>
        <v>-3.4588471840867566E-2</v>
      </c>
      <c r="X429" s="445">
        <f t="shared" si="108"/>
        <v>2.7291492516531924E-3</v>
      </c>
      <c r="Y429" s="43"/>
      <c r="Z429" s="388">
        <f t="shared" si="103"/>
        <v>2.0778020148868142</v>
      </c>
      <c r="AA429" s="43"/>
      <c r="AB429" s="462">
        <f>IF('TAR_Tab 2_Volumina'!C432="storage",1,0)</f>
        <v>0</v>
      </c>
      <c r="AC429" s="389">
        <f t="shared" si="102"/>
        <v>2.0778020148868142</v>
      </c>
      <c r="AD429" s="389">
        <f t="shared" si="104"/>
        <v>2.2176196540708277</v>
      </c>
      <c r="AE429" s="43"/>
      <c r="AF429" s="1027">
        <f t="shared" si="105"/>
        <v>2.2176196540708277</v>
      </c>
      <c r="AG429" s="392">
        <f t="shared" si="106"/>
        <v>2.218</v>
      </c>
      <c r="AH429" s="392">
        <f>AG429+'TAR_Tab 14_Overige tarieven'!$AA$14+'TAR_Tab 14_Overige tarieven'!$AA$15</f>
        <v>2.3980000000000001</v>
      </c>
      <c r="AI429" s="43"/>
    </row>
    <row r="430" spans="1:35">
      <c r="A430" s="96">
        <v>301206</v>
      </c>
      <c r="B430" s="1286" t="s">
        <v>329</v>
      </c>
      <c r="C430" s="1022"/>
      <c r="D430" s="1358"/>
      <c r="E430" s="1022"/>
      <c r="F430" s="1032">
        <v>0.86992493509224478</v>
      </c>
      <c r="G430" s="390">
        <f t="shared" si="96"/>
        <v>0.82782056823378014</v>
      </c>
      <c r="H430" s="390">
        <f t="shared" si="97"/>
        <v>0.84716756730230669</v>
      </c>
      <c r="I430" s="387"/>
      <c r="J430" s="388">
        <f t="shared" si="98"/>
        <v>0.80480918893719133</v>
      </c>
      <c r="K430" s="388">
        <f t="shared" si="99"/>
        <v>0.88952594566742205</v>
      </c>
      <c r="L430" s="1316">
        <v>0.85371729008705588</v>
      </c>
      <c r="M430" s="61" t="b">
        <f t="shared" si="100"/>
        <v>1</v>
      </c>
      <c r="N430" s="857">
        <f t="shared" si="101"/>
        <v>0.85371729008705588</v>
      </c>
      <c r="O430" s="15"/>
      <c r="P430" s="445">
        <f t="shared" si="107"/>
        <v>-3.9593579986878687E-2</v>
      </c>
      <c r="Q430" s="445">
        <f t="shared" si="94"/>
        <v>4.0968805008969447E-2</v>
      </c>
      <c r="R430" s="445">
        <f t="shared" si="108"/>
        <v>0</v>
      </c>
      <c r="S430" s="445">
        <f t="shared" si="108"/>
        <v>1.5433973889092758E-3</v>
      </c>
      <c r="T430" s="445">
        <f t="shared" si="108"/>
        <v>3.5744790553236996E-2</v>
      </c>
      <c r="U430" s="445">
        <f t="shared" si="108"/>
        <v>-4.6779420219646801E-3</v>
      </c>
      <c r="V430" s="445">
        <f t="shared" si="108"/>
        <v>-1.7598946059239797E-4</v>
      </c>
      <c r="W430" s="445">
        <f t="shared" si="108"/>
        <v>-1.455124298914642E-2</v>
      </c>
      <c r="X430" s="445">
        <f t="shared" si="108"/>
        <v>1.1481430604150284E-3</v>
      </c>
      <c r="Y430" s="43"/>
      <c r="Z430" s="388">
        <f t="shared" si="103"/>
        <v>0.87412367164000448</v>
      </c>
      <c r="AA430" s="43"/>
      <c r="AB430" s="462">
        <f>IF('TAR_Tab 2_Volumina'!C433="storage",1,0)</f>
        <v>0</v>
      </c>
      <c r="AC430" s="389">
        <f t="shared" si="102"/>
        <v>0.87412367164000448</v>
      </c>
      <c r="AD430" s="389">
        <f t="shared" si="104"/>
        <v>0.93294443860813392</v>
      </c>
      <c r="AE430" s="43"/>
      <c r="AF430" s="1027">
        <f t="shared" si="105"/>
        <v>0.93294443860813392</v>
      </c>
      <c r="AG430" s="392">
        <f t="shared" si="106"/>
        <v>0.93300000000000005</v>
      </c>
      <c r="AH430" s="392">
        <f>AG430+'TAR_Tab 14_Overige tarieven'!$AA$14+'TAR_Tab 14_Overige tarieven'!$AA$15</f>
        <v>1.113</v>
      </c>
      <c r="AI430" s="43"/>
    </row>
    <row r="431" spans="1:35">
      <c r="A431" s="96">
        <v>301207</v>
      </c>
      <c r="B431" s="1286" t="s">
        <v>330</v>
      </c>
      <c r="C431" s="1022"/>
      <c r="D431" s="1358"/>
      <c r="E431" s="1022"/>
      <c r="F431" s="1032">
        <v>0.95691742860146922</v>
      </c>
      <c r="G431" s="390">
        <f t="shared" si="96"/>
        <v>0.91060262505715817</v>
      </c>
      <c r="H431" s="390">
        <f t="shared" si="97"/>
        <v>0.9318843240325374</v>
      </c>
      <c r="I431" s="387"/>
      <c r="J431" s="388">
        <f t="shared" si="98"/>
        <v>0.88529010783091044</v>
      </c>
      <c r="K431" s="388">
        <f t="shared" si="99"/>
        <v>0.97847854023416436</v>
      </c>
      <c r="L431" s="1316">
        <v>0.93908901909576148</v>
      </c>
      <c r="M431" s="61" t="b">
        <f t="shared" si="100"/>
        <v>1</v>
      </c>
      <c r="N431" s="857">
        <f t="shared" si="101"/>
        <v>0.93908901909576148</v>
      </c>
      <c r="O431" s="15"/>
      <c r="P431" s="445">
        <f t="shared" si="107"/>
        <v>-4.3552937985566559E-2</v>
      </c>
      <c r="Q431" s="445">
        <f t="shared" si="94"/>
        <v>4.5065685509866393E-2</v>
      </c>
      <c r="R431" s="445">
        <f t="shared" si="108"/>
        <v>0</v>
      </c>
      <c r="S431" s="445">
        <f t="shared" si="108"/>
        <v>1.6977371278002035E-3</v>
      </c>
      <c r="T431" s="445">
        <f t="shared" si="108"/>
        <v>3.9319269608560699E-2</v>
      </c>
      <c r="U431" s="445">
        <f t="shared" si="108"/>
        <v>-5.1457362241611477E-3</v>
      </c>
      <c r="V431" s="445">
        <f t="shared" si="108"/>
        <v>-1.9358840665163778E-4</v>
      </c>
      <c r="W431" s="445">
        <f t="shared" si="108"/>
        <v>-1.6006367288061062E-2</v>
      </c>
      <c r="X431" s="445">
        <f t="shared" si="108"/>
        <v>1.2629573664565312E-3</v>
      </c>
      <c r="Y431" s="43"/>
      <c r="Z431" s="388">
        <f t="shared" si="103"/>
        <v>0.96153603880400496</v>
      </c>
      <c r="AA431" s="43"/>
      <c r="AB431" s="462">
        <f>IF('TAR_Tab 2_Volumina'!C434="storage",1,0)</f>
        <v>0</v>
      </c>
      <c r="AC431" s="389">
        <f t="shared" si="102"/>
        <v>0.96153603880400496</v>
      </c>
      <c r="AD431" s="389">
        <f t="shared" si="104"/>
        <v>1.0262388824689475</v>
      </c>
      <c r="AE431" s="43"/>
      <c r="AF431" s="1027">
        <f t="shared" si="105"/>
        <v>1.0262388824689475</v>
      </c>
      <c r="AG431" s="392">
        <f t="shared" si="106"/>
        <v>1.026</v>
      </c>
      <c r="AH431" s="392">
        <f>AG431+'TAR_Tab 14_Overige tarieven'!$AA$14+'TAR_Tab 14_Overige tarieven'!$AA$15</f>
        <v>1.206</v>
      </c>
      <c r="AI431" s="43"/>
    </row>
    <row r="432" spans="1:35">
      <c r="A432" s="96">
        <v>301210</v>
      </c>
      <c r="B432" s="1286" t="s">
        <v>829</v>
      </c>
      <c r="C432" s="1022"/>
      <c r="D432" s="1358"/>
      <c r="E432" s="1022"/>
      <c r="F432" s="1032">
        <v>1.8988361514254857</v>
      </c>
      <c r="G432" s="390">
        <f t="shared" si="96"/>
        <v>1.8069324816964922</v>
      </c>
      <c r="H432" s="390">
        <f t="shared" si="97"/>
        <v>1.8491623106977932</v>
      </c>
      <c r="I432" s="387"/>
      <c r="J432" s="388">
        <f t="shared" si="98"/>
        <v>1.7567041951629034</v>
      </c>
      <c r="K432" s="388">
        <f t="shared" si="99"/>
        <v>1.941620426232683</v>
      </c>
      <c r="L432" s="1316">
        <v>1.8634587745693321</v>
      </c>
      <c r="M432" s="61" t="b">
        <f t="shared" si="100"/>
        <v>1</v>
      </c>
      <c r="N432" s="857">
        <f t="shared" si="101"/>
        <v>1.8634587745693321</v>
      </c>
      <c r="O432" s="15"/>
      <c r="P432" s="445">
        <f t="shared" si="107"/>
        <v>-8.6423228040324845E-2</v>
      </c>
      <c r="Q432" s="445">
        <f t="shared" si="94"/>
        <v>8.9425012312681573E-2</v>
      </c>
      <c r="R432" s="445">
        <f t="shared" si="108"/>
        <v>0</v>
      </c>
      <c r="S432" s="445">
        <f t="shared" si="108"/>
        <v>3.3688639557916257E-3</v>
      </c>
      <c r="T432" s="445">
        <f t="shared" si="108"/>
        <v>7.8022249724824189E-2</v>
      </c>
      <c r="U432" s="445">
        <f t="shared" si="108"/>
        <v>-1.02108182755298E-2</v>
      </c>
      <c r="V432" s="445">
        <f t="shared" si="108"/>
        <v>-3.8414251225857895E-4</v>
      </c>
      <c r="W432" s="445">
        <f t="shared" si="108"/>
        <v>-3.1761851076309251E-2</v>
      </c>
      <c r="X432" s="445">
        <f t="shared" si="108"/>
        <v>2.5061191629059064E-3</v>
      </c>
      <c r="Y432" s="43"/>
      <c r="Z432" s="388">
        <f t="shared" si="103"/>
        <v>1.9080009798211128</v>
      </c>
      <c r="AA432" s="43"/>
      <c r="AB432" s="462">
        <f>IF('TAR_Tab 2_Volumina'!C435="storage",1,0)</f>
        <v>0</v>
      </c>
      <c r="AC432" s="389">
        <f t="shared" si="102"/>
        <v>1.9080009798211128</v>
      </c>
      <c r="AD432" s="389">
        <f t="shared" si="104"/>
        <v>2.0363925159963747</v>
      </c>
      <c r="AE432" s="43"/>
      <c r="AF432" s="1027">
        <f t="shared" si="105"/>
        <v>2.0363925159963747</v>
      </c>
      <c r="AG432" s="392">
        <f t="shared" si="106"/>
        <v>2.036</v>
      </c>
      <c r="AH432" s="392">
        <f>AG432+'TAR_Tab 14_Overige tarieven'!$AA$14+'TAR_Tab 14_Overige tarieven'!$AA$15</f>
        <v>2.2160000000000002</v>
      </c>
      <c r="AI432" s="43"/>
    </row>
    <row r="433" spans="1:35">
      <c r="A433" s="96">
        <v>301214</v>
      </c>
      <c r="B433" s="1286" t="s">
        <v>447</v>
      </c>
      <c r="C433" s="1022"/>
      <c r="D433" s="1358"/>
      <c r="E433" s="1022"/>
      <c r="F433" s="1032">
        <v>1.0905476361720956</v>
      </c>
      <c r="G433" s="390">
        <f t="shared" si="96"/>
        <v>1.0377651305813662</v>
      </c>
      <c r="H433" s="390">
        <f t="shared" si="97"/>
        <v>1.0620187451750991</v>
      </c>
      <c r="I433" s="387"/>
      <c r="J433" s="388">
        <f t="shared" si="98"/>
        <v>1.0089178079163441</v>
      </c>
      <c r="K433" s="388">
        <f t="shared" si="99"/>
        <v>1.1151196824338541</v>
      </c>
      <c r="L433" s="1316">
        <v>1.0089178079163441</v>
      </c>
      <c r="M433" s="61" t="b">
        <f t="shared" si="100"/>
        <v>1</v>
      </c>
      <c r="N433" s="857">
        <f t="shared" si="101"/>
        <v>1.0089178079163441</v>
      </c>
      <c r="O433" s="15"/>
      <c r="P433" s="445">
        <f t="shared" si="107"/>
        <v>-4.6791447697924225E-2</v>
      </c>
      <c r="Q433" s="445">
        <f t="shared" si="94"/>
        <v>4.8416680114779724E-2</v>
      </c>
      <c r="R433" s="445">
        <f t="shared" si="108"/>
        <v>0</v>
      </c>
      <c r="S433" s="445">
        <f t="shared" si="108"/>
        <v>1.823977478777978E-3</v>
      </c>
      <c r="T433" s="445">
        <f t="shared" si="108"/>
        <v>4.2242972173754632E-2</v>
      </c>
      <c r="U433" s="445">
        <f t="shared" si="108"/>
        <v>-5.5283629196253934E-3</v>
      </c>
      <c r="V433" s="445">
        <f t="shared" si="108"/>
        <v>-2.0798325494749651E-4</v>
      </c>
      <c r="W433" s="445">
        <f t="shared" si="108"/>
        <v>-1.7196568875359915E-2</v>
      </c>
      <c r="X433" s="445">
        <f t="shared" si="108"/>
        <v>1.3568683604500615E-3</v>
      </c>
      <c r="Y433" s="43"/>
      <c r="Z433" s="388">
        <f t="shared" si="103"/>
        <v>1.0330339432962494</v>
      </c>
      <c r="AA433" s="43"/>
      <c r="AB433" s="462">
        <f>IF('TAR_Tab 2_Volumina'!C436="storage",1,0)</f>
        <v>0</v>
      </c>
      <c r="AC433" s="389">
        <f t="shared" si="102"/>
        <v>1.0330339432962494</v>
      </c>
      <c r="AD433" s="389">
        <f t="shared" si="104"/>
        <v>1.1025479615298401</v>
      </c>
      <c r="AE433" s="43"/>
      <c r="AF433" s="1027">
        <f t="shared" si="105"/>
        <v>1.1025479615298401</v>
      </c>
      <c r="AG433" s="392">
        <f t="shared" si="106"/>
        <v>1.103</v>
      </c>
      <c r="AH433" s="392">
        <f>AG433+'TAR_Tab 14_Overige tarieven'!$AA$14+'TAR_Tab 14_Overige tarieven'!$AA$15</f>
        <v>1.2829999999999999</v>
      </c>
      <c r="AI433" s="43"/>
    </row>
    <row r="434" spans="1:35">
      <c r="A434" s="96">
        <v>301220</v>
      </c>
      <c r="B434" s="1286" t="s">
        <v>331</v>
      </c>
      <c r="C434" s="1022"/>
      <c r="D434" s="1358"/>
      <c r="E434" s="1022"/>
      <c r="F434" s="1032">
        <v>1.1638995683303135</v>
      </c>
      <c r="G434" s="390">
        <f t="shared" si="96"/>
        <v>1.1075668292231262</v>
      </c>
      <c r="H434" s="390">
        <f t="shared" si="97"/>
        <v>1.1334517797010168</v>
      </c>
      <c r="I434" s="387"/>
      <c r="J434" s="388">
        <f t="shared" si="98"/>
        <v>1.0767791907159661</v>
      </c>
      <c r="K434" s="388">
        <f t="shared" si="99"/>
        <v>1.1901243686860676</v>
      </c>
      <c r="L434" s="1316">
        <v>1.1422148570819917</v>
      </c>
      <c r="M434" s="61" t="b">
        <f t="shared" si="100"/>
        <v>1</v>
      </c>
      <c r="N434" s="857">
        <f t="shared" si="101"/>
        <v>1.1422148570819917</v>
      </c>
      <c r="O434" s="15"/>
      <c r="P434" s="445">
        <f t="shared" si="107"/>
        <v>-5.2973479430720435E-2</v>
      </c>
      <c r="Q434" s="445">
        <f t="shared" si="94"/>
        <v>5.4813435667172901E-2</v>
      </c>
      <c r="R434" s="445">
        <f t="shared" si="108"/>
        <v>0</v>
      </c>
      <c r="S434" s="445">
        <f t="shared" si="108"/>
        <v>2.0649592651613754E-3</v>
      </c>
      <c r="T434" s="445">
        <f t="shared" si="108"/>
        <v>4.78240646022619E-2</v>
      </c>
      <c r="U434" s="445">
        <f t="shared" si="108"/>
        <v>-6.2587638086975695E-3</v>
      </c>
      <c r="V434" s="445">
        <f t="shared" si="108"/>
        <v>-2.3546176106844962E-4</v>
      </c>
      <c r="W434" s="445">
        <f t="shared" si="108"/>
        <v>-1.9468559585478652E-2</v>
      </c>
      <c r="X434" s="445">
        <f t="shared" si="108"/>
        <v>1.5361362325552789E-3</v>
      </c>
      <c r="Y434" s="43"/>
      <c r="Z434" s="388">
        <f t="shared" si="103"/>
        <v>1.1695171882631781</v>
      </c>
      <c r="AA434" s="43"/>
      <c r="AB434" s="462">
        <f>IF('TAR_Tab 2_Volumina'!C437="storage",1,0)</f>
        <v>0</v>
      </c>
      <c r="AC434" s="389">
        <f t="shared" si="102"/>
        <v>1.1695171882631781</v>
      </c>
      <c r="AD434" s="389">
        <f t="shared" si="104"/>
        <v>1.2482153178619169</v>
      </c>
      <c r="AE434" s="43"/>
      <c r="AF434" s="1027">
        <f t="shared" si="105"/>
        <v>1.2482153178619169</v>
      </c>
      <c r="AG434" s="392">
        <f t="shared" si="106"/>
        <v>1.248</v>
      </c>
      <c r="AH434" s="392">
        <f>AG434+'TAR_Tab 14_Overige tarieven'!$AA$14+'TAR_Tab 14_Overige tarieven'!$AA$15</f>
        <v>1.4279999999999999</v>
      </c>
      <c r="AI434" s="43"/>
    </row>
    <row r="435" spans="1:35">
      <c r="A435" s="96">
        <v>301222</v>
      </c>
      <c r="B435" s="1286" t="s">
        <v>332</v>
      </c>
      <c r="C435" s="1022"/>
      <c r="D435" s="1358"/>
      <c r="E435" s="1022"/>
      <c r="F435" s="1032">
        <v>1.9228340806694104</v>
      </c>
      <c r="G435" s="390">
        <f t="shared" si="96"/>
        <v>1.8297689111650111</v>
      </c>
      <c r="H435" s="390">
        <f t="shared" si="97"/>
        <v>1.8725324504854439</v>
      </c>
      <c r="I435" s="387"/>
      <c r="J435" s="388">
        <f t="shared" si="98"/>
        <v>1.7789058279611716</v>
      </c>
      <c r="K435" s="388">
        <f t="shared" si="99"/>
        <v>1.9661590730097163</v>
      </c>
      <c r="L435" s="1316">
        <v>1.8870095963648379</v>
      </c>
      <c r="M435" s="61" t="b">
        <f t="shared" si="100"/>
        <v>1</v>
      </c>
      <c r="N435" s="857">
        <f t="shared" si="101"/>
        <v>1.8870095963648379</v>
      </c>
      <c r="O435" s="15"/>
      <c r="P435" s="445">
        <f t="shared" si="107"/>
        <v>-8.7515464729618089E-2</v>
      </c>
      <c r="Q435" s="445">
        <f t="shared" si="94"/>
        <v>9.0555186243963526E-2</v>
      </c>
      <c r="R435" s="445">
        <f t="shared" si="108"/>
        <v>0</v>
      </c>
      <c r="S435" s="445">
        <f t="shared" si="108"/>
        <v>3.4114404354856766E-3</v>
      </c>
      <c r="T435" s="445">
        <f t="shared" si="108"/>
        <v>7.9008312912499726E-2</v>
      </c>
      <c r="U435" s="445">
        <f t="shared" si="108"/>
        <v>-1.0339864951997796E-2</v>
      </c>
      <c r="V435" s="445">
        <f t="shared" si="108"/>
        <v>-3.8899739393009354E-4</v>
      </c>
      <c r="W435" s="445">
        <f t="shared" si="108"/>
        <v>-3.2163264676009856E-2</v>
      </c>
      <c r="X435" s="445">
        <f t="shared" si="108"/>
        <v>2.5377920749173563E-3</v>
      </c>
      <c r="Y435" s="43"/>
      <c r="Z435" s="388">
        <f t="shared" si="103"/>
        <v>1.9321147362801483</v>
      </c>
      <c r="AA435" s="43"/>
      <c r="AB435" s="462">
        <f>IF('TAR_Tab 2_Volumina'!C438="storage",1,0)</f>
        <v>0</v>
      </c>
      <c r="AC435" s="389">
        <f t="shared" si="102"/>
        <v>1.9321147362801483</v>
      </c>
      <c r="AD435" s="389">
        <f t="shared" si="104"/>
        <v>2.0621289143028068</v>
      </c>
      <c r="AE435" s="43"/>
      <c r="AF435" s="1027">
        <f t="shared" si="105"/>
        <v>2.0621289143028068</v>
      </c>
      <c r="AG435" s="392">
        <f t="shared" si="106"/>
        <v>2.0619999999999998</v>
      </c>
      <c r="AH435" s="392">
        <f>AG435+'TAR_Tab 14_Overige tarieven'!$AA$14+'TAR_Tab 14_Overige tarieven'!$AA$15</f>
        <v>2.242</v>
      </c>
      <c r="AI435" s="43"/>
    </row>
    <row r="436" spans="1:35">
      <c r="A436" s="96">
        <v>301229</v>
      </c>
      <c r="B436" s="1286" t="s">
        <v>334</v>
      </c>
      <c r="C436" s="1022"/>
      <c r="D436" s="1358"/>
      <c r="E436" s="1022"/>
      <c r="F436" s="1032">
        <v>2.1338158752722416</v>
      </c>
      <c r="G436" s="390">
        <f t="shared" si="96"/>
        <v>2.0305391869090652</v>
      </c>
      <c r="H436" s="390">
        <f t="shared" si="97"/>
        <v>2.0779949294518647</v>
      </c>
      <c r="I436" s="387"/>
      <c r="J436" s="388">
        <f t="shared" si="98"/>
        <v>1.9740951829792714</v>
      </c>
      <c r="K436" s="388">
        <f t="shared" si="99"/>
        <v>2.181894675924458</v>
      </c>
      <c r="L436" s="1316">
        <v>2.0940605713169851</v>
      </c>
      <c r="M436" s="61" t="b">
        <f t="shared" si="100"/>
        <v>1</v>
      </c>
      <c r="N436" s="857">
        <f t="shared" si="101"/>
        <v>2.0940605713169851</v>
      </c>
      <c r="O436" s="15"/>
      <c r="P436" s="445">
        <f t="shared" si="107"/>
        <v>-9.7118045622987481E-2</v>
      </c>
      <c r="Q436" s="445">
        <f t="shared" si="94"/>
        <v>0.10049129872315034</v>
      </c>
      <c r="R436" s="445">
        <f t="shared" si="108"/>
        <v>0</v>
      </c>
      <c r="S436" s="445">
        <f t="shared" si="108"/>
        <v>3.7857586527958557E-3</v>
      </c>
      <c r="T436" s="445">
        <f t="shared" si="108"/>
        <v>8.76774517708135E-2</v>
      </c>
      <c r="U436" s="445">
        <f t="shared" si="108"/>
        <v>-1.1474400315945547E-2</v>
      </c>
      <c r="V436" s="445">
        <f t="shared" si="108"/>
        <v>-4.3167989529215771E-4</v>
      </c>
      <c r="W436" s="445">
        <f t="shared" si="108"/>
        <v>-3.5692359240044207E-2</v>
      </c>
      <c r="X436" s="445">
        <f t="shared" si="108"/>
        <v>2.8162497596846783E-3</v>
      </c>
      <c r="Y436" s="43"/>
      <c r="Z436" s="388">
        <f t="shared" si="103"/>
        <v>2.1441148451491601</v>
      </c>
      <c r="AA436" s="43"/>
      <c r="AB436" s="462">
        <f>IF('TAR_Tab 2_Volumina'!C439="storage",1,0)</f>
        <v>0</v>
      </c>
      <c r="AC436" s="389">
        <f t="shared" si="102"/>
        <v>2.1441148451491601</v>
      </c>
      <c r="AD436" s="389">
        <f t="shared" si="104"/>
        <v>2.2883947494135146</v>
      </c>
      <c r="AE436" s="43"/>
      <c r="AF436" s="1027">
        <f t="shared" si="105"/>
        <v>2.2883947494135146</v>
      </c>
      <c r="AG436" s="392">
        <f t="shared" si="106"/>
        <v>2.2879999999999998</v>
      </c>
      <c r="AH436" s="392">
        <f>AG436+'TAR_Tab 14_Overige tarieven'!$AA$14+'TAR_Tab 14_Overige tarieven'!$AA$15</f>
        <v>2.468</v>
      </c>
      <c r="AI436" s="43"/>
    </row>
    <row r="437" spans="1:35">
      <c r="A437" s="96">
        <v>301230</v>
      </c>
      <c r="B437" s="1286" t="s">
        <v>335</v>
      </c>
      <c r="C437" s="1022"/>
      <c r="D437" s="1358"/>
      <c r="E437" s="1022"/>
      <c r="F437" s="1032">
        <v>2.98374253599455</v>
      </c>
      <c r="G437" s="390">
        <f t="shared" si="96"/>
        <v>2.8393293972524138</v>
      </c>
      <c r="H437" s="390">
        <f t="shared" si="97"/>
        <v>2.9056873802644638</v>
      </c>
      <c r="I437" s="387"/>
      <c r="J437" s="388">
        <f t="shared" si="98"/>
        <v>2.7604030112512405</v>
      </c>
      <c r="K437" s="388">
        <f t="shared" si="99"/>
        <v>3.0509717492776871</v>
      </c>
      <c r="L437" s="1316">
        <v>2.928152176574454</v>
      </c>
      <c r="M437" s="61" t="b">
        <f t="shared" si="100"/>
        <v>1</v>
      </c>
      <c r="N437" s="857">
        <f t="shared" si="101"/>
        <v>2.928152176574454</v>
      </c>
      <c r="O437" s="15"/>
      <c r="P437" s="445">
        <f t="shared" si="107"/>
        <v>-0.13580142836878853</v>
      </c>
      <c r="Q437" s="445">
        <f t="shared" ref="Q437:X491" si="109">$N437*Q$5</f>
        <v>0.14051829212271821</v>
      </c>
      <c r="R437" s="445">
        <f t="shared" si="108"/>
        <v>0</v>
      </c>
      <c r="S437" s="445">
        <f t="shared" si="108"/>
        <v>5.2936756419600913E-3</v>
      </c>
      <c r="T437" s="445">
        <f t="shared" si="108"/>
        <v>0.1226005230009876</v>
      </c>
      <c r="U437" s="445">
        <f t="shared" si="108"/>
        <v>-1.6044803440853569E-2</v>
      </c>
      <c r="V437" s="445">
        <f t="shared" si="108"/>
        <v>-6.0362362115829382E-4</v>
      </c>
      <c r="W437" s="445">
        <f t="shared" si="108"/>
        <v>-4.990909089610681E-2</v>
      </c>
      <c r="X437" s="445">
        <f t="shared" si="108"/>
        <v>3.9379987267568334E-3</v>
      </c>
      <c r="Y437" s="43"/>
      <c r="Z437" s="388">
        <f t="shared" si="103"/>
        <v>2.9981437197399696</v>
      </c>
      <c r="AA437" s="43"/>
      <c r="AB437" s="462">
        <f>IF('TAR_Tab 2_Volumina'!C440="storage",1,0)</f>
        <v>0</v>
      </c>
      <c r="AC437" s="389">
        <f t="shared" si="102"/>
        <v>2.9981437197399696</v>
      </c>
      <c r="AD437" s="389">
        <f t="shared" si="104"/>
        <v>3.1998921894329562</v>
      </c>
      <c r="AE437" s="43"/>
      <c r="AF437" s="1027">
        <f t="shared" si="105"/>
        <v>3.1998921894329562</v>
      </c>
      <c r="AG437" s="392">
        <f t="shared" si="106"/>
        <v>3.2</v>
      </c>
      <c r="AH437" s="392">
        <f>AG437+'TAR_Tab 14_Overige tarieven'!$AA$14+'TAR_Tab 14_Overige tarieven'!$AA$15</f>
        <v>3.3800000000000003</v>
      </c>
      <c r="AI437" s="43"/>
    </row>
    <row r="438" spans="1:35">
      <c r="A438" s="96">
        <v>301232</v>
      </c>
      <c r="B438" s="1286" t="s">
        <v>336</v>
      </c>
      <c r="C438" s="1022"/>
      <c r="D438" s="1358"/>
      <c r="E438" s="1022"/>
      <c r="F438" s="1032">
        <v>2.5397808449819554</v>
      </c>
      <c r="G438" s="390">
        <f t="shared" si="96"/>
        <v>2.4168554520848287</v>
      </c>
      <c r="H438" s="390">
        <f t="shared" si="97"/>
        <v>2.4733397941929409</v>
      </c>
      <c r="I438" s="387"/>
      <c r="J438" s="388">
        <f t="shared" si="98"/>
        <v>2.3496728044832937</v>
      </c>
      <c r="K438" s="388">
        <f t="shared" si="99"/>
        <v>2.5970067839025881</v>
      </c>
      <c r="L438" s="1316">
        <v>2.492461973357611</v>
      </c>
      <c r="M438" s="61" t="b">
        <f t="shared" si="100"/>
        <v>1</v>
      </c>
      <c r="N438" s="857">
        <f t="shared" si="101"/>
        <v>2.492461973357611</v>
      </c>
      <c r="O438" s="15"/>
      <c r="P438" s="445">
        <f t="shared" si="107"/>
        <v>-0.1155950496168642</v>
      </c>
      <c r="Q438" s="445">
        <f t="shared" si="109"/>
        <v>0.11961007439400273</v>
      </c>
      <c r="R438" s="445">
        <f t="shared" si="108"/>
        <v>0</v>
      </c>
      <c r="S438" s="445">
        <f t="shared" si="108"/>
        <v>4.506010767620184E-3</v>
      </c>
      <c r="T438" s="445">
        <f t="shared" si="108"/>
        <v>0.10435835402899075</v>
      </c>
      <c r="U438" s="445">
        <f t="shared" si="108"/>
        <v>-1.365743992619573E-2</v>
      </c>
      <c r="V438" s="445">
        <f t="shared" si="108"/>
        <v>-5.1380831023527674E-4</v>
      </c>
      <c r="W438" s="445">
        <f t="shared" si="108"/>
        <v>-4.2482939301645865E-2</v>
      </c>
      <c r="X438" s="445">
        <f t="shared" si="108"/>
        <v>3.3520498545450248E-3</v>
      </c>
      <c r="Y438" s="43"/>
      <c r="Z438" s="388">
        <f t="shared" si="103"/>
        <v>2.5520392252478286</v>
      </c>
      <c r="AA438" s="43"/>
      <c r="AB438" s="462">
        <f>IF('TAR_Tab 2_Volumina'!C441="storage",1,0)</f>
        <v>0</v>
      </c>
      <c r="AC438" s="389">
        <f t="shared" si="102"/>
        <v>2.5520392252478286</v>
      </c>
      <c r="AD438" s="389">
        <f t="shared" si="104"/>
        <v>2.7237688207639765</v>
      </c>
      <c r="AE438" s="43"/>
      <c r="AF438" s="1027">
        <f t="shared" si="105"/>
        <v>2.7237688207639765</v>
      </c>
      <c r="AG438" s="392">
        <f t="shared" si="106"/>
        <v>2.7240000000000002</v>
      </c>
      <c r="AH438" s="392">
        <f>AG438+'TAR_Tab 14_Overige tarieven'!$AA$14+'TAR_Tab 14_Overige tarieven'!$AA$15</f>
        <v>2.9040000000000004</v>
      </c>
      <c r="AI438" s="43"/>
    </row>
    <row r="439" spans="1:35">
      <c r="A439" s="96">
        <v>301233</v>
      </c>
      <c r="B439" s="1286" t="s">
        <v>337</v>
      </c>
      <c r="C439" s="1022"/>
      <c r="D439" s="1358"/>
      <c r="E439" s="1022"/>
      <c r="F439" s="1032">
        <v>2.3197998269126527</v>
      </c>
      <c r="G439" s="390">
        <f t="shared" si="96"/>
        <v>2.2075215152900802</v>
      </c>
      <c r="H439" s="390">
        <f t="shared" si="97"/>
        <v>2.259113512806151</v>
      </c>
      <c r="I439" s="387"/>
      <c r="J439" s="388">
        <f t="shared" si="98"/>
        <v>2.1461578371658434</v>
      </c>
      <c r="K439" s="388">
        <f t="shared" si="99"/>
        <v>2.3720691884464586</v>
      </c>
      <c r="L439" s="1316">
        <v>2.2765794402321489</v>
      </c>
      <c r="M439" s="61" t="b">
        <f t="shared" ref="M439:M486" si="110">IF(L439&gt;0,AND(L439&gt;=J439,L439&lt;=K439),"")</f>
        <v>1</v>
      </c>
      <c r="N439" s="857">
        <f t="shared" si="101"/>
        <v>2.2765794402321489</v>
      </c>
      <c r="O439" s="15"/>
      <c r="P439" s="445">
        <f t="shared" si="107"/>
        <v>-0.10558287996500983</v>
      </c>
      <c r="Q439" s="445">
        <f t="shared" si="109"/>
        <v>0.10925014669058518</v>
      </c>
      <c r="R439" s="445">
        <f t="shared" si="108"/>
        <v>0</v>
      </c>
      <c r="S439" s="445">
        <f t="shared" si="108"/>
        <v>4.1157263704247353E-3</v>
      </c>
      <c r="T439" s="445">
        <f t="shared" si="108"/>
        <v>9.5319441475298652E-2</v>
      </c>
      <c r="U439" s="445">
        <f t="shared" si="108"/>
        <v>-1.2474512058572479E-2</v>
      </c>
      <c r="V439" s="445">
        <f t="shared" si="108"/>
        <v>-4.6930522824639454E-4</v>
      </c>
      <c r="W439" s="445">
        <f t="shared" si="108"/>
        <v>-3.8803314637723782E-2</v>
      </c>
      <c r="X439" s="445">
        <f t="shared" si="108"/>
        <v>3.0617148277734085E-3</v>
      </c>
      <c r="Y439" s="43"/>
      <c r="Z439" s="388">
        <f t="shared" si="103"/>
        <v>2.3309964577066782</v>
      </c>
      <c r="AA439" s="43"/>
      <c r="AB439" s="462">
        <f>IF('TAR_Tab 2_Volumina'!C442="storage",1,0)</f>
        <v>0</v>
      </c>
      <c r="AC439" s="389">
        <f t="shared" si="102"/>
        <v>2.3309964577066782</v>
      </c>
      <c r="AD439" s="389">
        <f t="shared" si="104"/>
        <v>2.4878518362883568</v>
      </c>
      <c r="AE439" s="43"/>
      <c r="AF439" s="1027">
        <f t="shared" si="105"/>
        <v>2.4878518362883568</v>
      </c>
      <c r="AG439" s="392">
        <f t="shared" si="106"/>
        <v>2.488</v>
      </c>
      <c r="AH439" s="392">
        <f>AG439+'TAR_Tab 14_Overige tarieven'!$AA$14+'TAR_Tab 14_Overige tarieven'!$AA$15</f>
        <v>2.6680000000000001</v>
      </c>
      <c r="AI439" s="43"/>
    </row>
    <row r="440" spans="1:35">
      <c r="A440" s="96">
        <v>301234</v>
      </c>
      <c r="B440" s="1286" t="s">
        <v>338</v>
      </c>
      <c r="C440" s="1022"/>
      <c r="D440" s="1358"/>
      <c r="E440" s="1022"/>
      <c r="F440" s="1032">
        <v>2.771760827673222</v>
      </c>
      <c r="G440" s="390">
        <f t="shared" si="96"/>
        <v>2.6376076036138381</v>
      </c>
      <c r="H440" s="390">
        <f t="shared" si="97"/>
        <v>2.699251145473557</v>
      </c>
      <c r="I440" s="387"/>
      <c r="J440" s="388">
        <f t="shared" si="98"/>
        <v>2.5642885881998789</v>
      </c>
      <c r="K440" s="388">
        <f t="shared" si="99"/>
        <v>2.8342137027472352</v>
      </c>
      <c r="L440" s="1316">
        <v>2.7201199173808268</v>
      </c>
      <c r="M440" s="61" t="b">
        <f t="shared" si="110"/>
        <v>1</v>
      </c>
      <c r="N440" s="857">
        <f t="shared" si="101"/>
        <v>2.7201199173808268</v>
      </c>
      <c r="O440" s="15"/>
      <c r="P440" s="445">
        <f t="shared" si="107"/>
        <v>-0.12615333761336522</v>
      </c>
      <c r="Q440" s="445">
        <f t="shared" si="109"/>
        <v>0.1305350890630613</v>
      </c>
      <c r="R440" s="445">
        <f t="shared" si="108"/>
        <v>0</v>
      </c>
      <c r="S440" s="445">
        <f t="shared" si="108"/>
        <v>4.917583404662659E-3</v>
      </c>
      <c r="T440" s="445">
        <f t="shared" si="108"/>
        <v>0.11389029817652066</v>
      </c>
      <c r="U440" s="445">
        <f t="shared" si="108"/>
        <v>-1.4904891132052983E-2</v>
      </c>
      <c r="V440" s="445">
        <f t="shared" si="108"/>
        <v>-5.6073883305991638E-4</v>
      </c>
      <c r="W440" s="445">
        <f t="shared" si="108"/>
        <v>-4.6363270765418255E-2</v>
      </c>
      <c r="X440" s="445">
        <f t="shared" si="108"/>
        <v>3.6582213373223668E-3</v>
      </c>
      <c r="Y440" s="43"/>
      <c r="Z440" s="388">
        <f t="shared" si="103"/>
        <v>2.7851388710184972</v>
      </c>
      <c r="AA440" s="43"/>
      <c r="AB440" s="462">
        <f>IF('TAR_Tab 2_Volumina'!C443="storage",1,0)</f>
        <v>0</v>
      </c>
      <c r="AC440" s="389">
        <f t="shared" si="102"/>
        <v>2.7851388710184972</v>
      </c>
      <c r="AD440" s="389">
        <f t="shared" si="104"/>
        <v>2.9725540043928134</v>
      </c>
      <c r="AE440" s="43"/>
      <c r="AF440" s="1027">
        <f t="shared" si="105"/>
        <v>2.9725540043928134</v>
      </c>
      <c r="AG440" s="392">
        <f t="shared" si="106"/>
        <v>2.9729999999999999</v>
      </c>
      <c r="AH440" s="392">
        <f>AG440+'TAR_Tab 14_Overige tarieven'!$AA$14+'TAR_Tab 14_Overige tarieven'!$AA$15</f>
        <v>3.153</v>
      </c>
      <c r="AI440" s="43"/>
    </row>
    <row r="441" spans="1:35">
      <c r="A441" s="96">
        <v>301235</v>
      </c>
      <c r="B441" s="1286" t="s">
        <v>339</v>
      </c>
      <c r="C441" s="1022"/>
      <c r="D441" s="1358"/>
      <c r="E441" s="1022"/>
      <c r="F441" s="1032">
        <v>2.1668130279826374</v>
      </c>
      <c r="G441" s="390">
        <f t="shared" si="96"/>
        <v>2.0619392774282779</v>
      </c>
      <c r="H441" s="390">
        <f t="shared" si="97"/>
        <v>2.1101288716598838</v>
      </c>
      <c r="I441" s="387"/>
      <c r="J441" s="388">
        <f t="shared" si="98"/>
        <v>2.0046224280768894</v>
      </c>
      <c r="K441" s="388">
        <f t="shared" si="99"/>
        <v>2.2156353152428783</v>
      </c>
      <c r="L441" s="1316">
        <v>2.1264429512858052</v>
      </c>
      <c r="M441" s="61" t="b">
        <f t="shared" si="110"/>
        <v>1</v>
      </c>
      <c r="N441" s="857">
        <f t="shared" si="101"/>
        <v>2.1264429512858052</v>
      </c>
      <c r="O441" s="15"/>
      <c r="P441" s="445">
        <f t="shared" si="107"/>
        <v>-9.8619871070765683E-2</v>
      </c>
      <c r="Q441" s="445">
        <f t="shared" si="109"/>
        <v>0.102045287878663</v>
      </c>
      <c r="R441" s="445">
        <f t="shared" si="108"/>
        <v>0</v>
      </c>
      <c r="S441" s="445">
        <f t="shared" si="108"/>
        <v>3.8443013123751744E-3</v>
      </c>
      <c r="T441" s="445">
        <f t="shared" si="108"/>
        <v>8.9033288653867337E-2</v>
      </c>
      <c r="U441" s="445">
        <f t="shared" si="108"/>
        <v>-1.1651839496089039E-2</v>
      </c>
      <c r="V441" s="445">
        <f t="shared" si="108"/>
        <v>-4.3835535759049023E-4</v>
      </c>
      <c r="W441" s="445">
        <f t="shared" si="108"/>
        <v>-3.6244302939632531E-2</v>
      </c>
      <c r="X441" s="445">
        <f t="shared" si="108"/>
        <v>2.8598000137004219E-3</v>
      </c>
      <c r="Y441" s="43"/>
      <c r="Z441" s="388">
        <f t="shared" si="103"/>
        <v>2.1772712602803335</v>
      </c>
      <c r="AA441" s="43"/>
      <c r="AB441" s="462">
        <f>IF('TAR_Tab 2_Volumina'!C444="storage",1,0)</f>
        <v>0</v>
      </c>
      <c r="AC441" s="389">
        <f t="shared" si="102"/>
        <v>2.1772712602803335</v>
      </c>
      <c r="AD441" s="389">
        <f t="shared" si="104"/>
        <v>2.3237822970848585</v>
      </c>
      <c r="AE441" s="43"/>
      <c r="AF441" s="1027">
        <f t="shared" si="105"/>
        <v>2.3237822970848585</v>
      </c>
      <c r="AG441" s="392">
        <f t="shared" si="106"/>
        <v>2.3239999999999998</v>
      </c>
      <c r="AH441" s="392">
        <f>AG441+'TAR_Tab 14_Overige tarieven'!$AA$14+'TAR_Tab 14_Overige tarieven'!$AA$15</f>
        <v>2.504</v>
      </c>
      <c r="AI441" s="43"/>
    </row>
    <row r="442" spans="1:35">
      <c r="A442" s="96">
        <v>301238</v>
      </c>
      <c r="B442" s="1286" t="s">
        <v>340</v>
      </c>
      <c r="C442" s="1022"/>
      <c r="D442" s="1358"/>
      <c r="E442" s="1022"/>
      <c r="F442" s="1032">
        <v>2.0888197579398846</v>
      </c>
      <c r="G442" s="390">
        <f t="shared" si="96"/>
        <v>1.9877208816555942</v>
      </c>
      <c r="H442" s="390">
        <f t="shared" si="97"/>
        <v>2.034175917350022</v>
      </c>
      <c r="I442" s="387"/>
      <c r="J442" s="388">
        <f t="shared" si="98"/>
        <v>1.9324671214825209</v>
      </c>
      <c r="K442" s="388">
        <f t="shared" si="99"/>
        <v>2.1358847132175232</v>
      </c>
      <c r="L442" s="1316">
        <v>2.049902780450414</v>
      </c>
      <c r="M442" s="61" t="b">
        <f t="shared" si="110"/>
        <v>1</v>
      </c>
      <c r="N442" s="857">
        <f t="shared" si="101"/>
        <v>2.049902780450414</v>
      </c>
      <c r="O442" s="15"/>
      <c r="P442" s="445">
        <f t="shared" si="107"/>
        <v>-9.5070101830562762E-2</v>
      </c>
      <c r="Q442" s="445">
        <f t="shared" si="109"/>
        <v>9.8372222601996781E-2</v>
      </c>
      <c r="R442" s="445">
        <f t="shared" si="108"/>
        <v>0</v>
      </c>
      <c r="S442" s="445">
        <f t="shared" si="108"/>
        <v>3.7059277533695151E-3</v>
      </c>
      <c r="T442" s="445">
        <f t="shared" si="108"/>
        <v>8.5828583293921956E-2</v>
      </c>
      <c r="U442" s="445">
        <f t="shared" si="108"/>
        <v>-1.1232437797568067E-2</v>
      </c>
      <c r="V442" s="445">
        <f t="shared" si="108"/>
        <v>-4.2257699215806835E-4</v>
      </c>
      <c r="W442" s="445">
        <f t="shared" si="108"/>
        <v>-3.4939708740605611E-2</v>
      </c>
      <c r="X442" s="445">
        <f t="shared" si="108"/>
        <v>2.7568630496632124E-3</v>
      </c>
      <c r="Y442" s="43"/>
      <c r="Z442" s="388">
        <f t="shared" si="103"/>
        <v>2.098901551788471</v>
      </c>
      <c r="AA442" s="43"/>
      <c r="AB442" s="462">
        <f>IF('TAR_Tab 2_Volumina'!C445="storage",1,0)</f>
        <v>0</v>
      </c>
      <c r="AC442" s="389">
        <f t="shared" si="102"/>
        <v>2.098901551788471</v>
      </c>
      <c r="AD442" s="389">
        <f t="shared" si="104"/>
        <v>2.2401390025889567</v>
      </c>
      <c r="AE442" s="43"/>
      <c r="AF442" s="1027">
        <f t="shared" si="105"/>
        <v>2.2401390025889567</v>
      </c>
      <c r="AG442" s="392">
        <f t="shared" si="106"/>
        <v>2.2400000000000002</v>
      </c>
      <c r="AH442" s="392">
        <f>AG442+'TAR_Tab 14_Overige tarieven'!$AA$14+'TAR_Tab 14_Overige tarieven'!$AA$15</f>
        <v>2.4200000000000004</v>
      </c>
      <c r="AI442" s="43"/>
    </row>
    <row r="443" spans="1:35">
      <c r="A443" s="96">
        <v>301239</v>
      </c>
      <c r="B443" s="1286" t="s">
        <v>341</v>
      </c>
      <c r="C443" s="1022"/>
      <c r="D443" s="1358"/>
      <c r="E443" s="1022"/>
      <c r="F443" s="1032">
        <v>2.1158174283392981</v>
      </c>
      <c r="G443" s="390">
        <f t="shared" si="96"/>
        <v>2.0134118648076762</v>
      </c>
      <c r="H443" s="390">
        <f t="shared" si="97"/>
        <v>2.0604673246111269</v>
      </c>
      <c r="I443" s="387"/>
      <c r="J443" s="388">
        <f t="shared" si="98"/>
        <v>1.9574439583805705</v>
      </c>
      <c r="K443" s="388">
        <f t="shared" si="99"/>
        <v>2.1634906908416833</v>
      </c>
      <c r="L443" s="1316">
        <v>2.0763974549703561</v>
      </c>
      <c r="M443" s="61" t="b">
        <f t="shared" si="110"/>
        <v>1</v>
      </c>
      <c r="N443" s="857">
        <f t="shared" si="101"/>
        <v>2.0763974549703561</v>
      </c>
      <c r="O443" s="15"/>
      <c r="P443" s="445">
        <f t="shared" si="107"/>
        <v>-9.6298868106017566E-2</v>
      </c>
      <c r="Q443" s="445">
        <f t="shared" si="109"/>
        <v>9.9643668274688887E-2</v>
      </c>
      <c r="R443" s="445">
        <f t="shared" si="108"/>
        <v>0</v>
      </c>
      <c r="S443" s="445">
        <f t="shared" si="108"/>
        <v>3.7538262930253185E-3</v>
      </c>
      <c r="T443" s="445">
        <f t="shared" si="108"/>
        <v>8.6937904380056857E-2</v>
      </c>
      <c r="U443" s="445">
        <f t="shared" si="108"/>
        <v>-1.1377615308594552E-2</v>
      </c>
      <c r="V443" s="445">
        <f t="shared" si="108"/>
        <v>-4.2803873403852186E-4</v>
      </c>
      <c r="W443" s="445">
        <f t="shared" si="108"/>
        <v>-3.5391299040268755E-2</v>
      </c>
      <c r="X443" s="445">
        <f t="shared" si="108"/>
        <v>2.7924950756760911E-3</v>
      </c>
      <c r="Y443" s="43"/>
      <c r="Z443" s="388">
        <f t="shared" si="103"/>
        <v>2.1260295278048837</v>
      </c>
      <c r="AA443" s="43"/>
      <c r="AB443" s="462">
        <f>IF('TAR_Tab 2_Volumina'!C446="storage",1,0)</f>
        <v>0</v>
      </c>
      <c r="AC443" s="389">
        <f t="shared" si="102"/>
        <v>2.1260295278048837</v>
      </c>
      <c r="AD443" s="389">
        <f t="shared" si="104"/>
        <v>2.2690924506836905</v>
      </c>
      <c r="AE443" s="43"/>
      <c r="AF443" s="1027">
        <f t="shared" si="105"/>
        <v>2.2690924506836905</v>
      </c>
      <c r="AG443" s="392">
        <f t="shared" si="106"/>
        <v>2.2690000000000001</v>
      </c>
      <c r="AH443" s="392">
        <f>AG443+'TAR_Tab 14_Overige tarieven'!$AA$14+'TAR_Tab 14_Overige tarieven'!$AA$15</f>
        <v>2.4490000000000003</v>
      </c>
      <c r="AI443" s="43"/>
    </row>
    <row r="444" spans="1:35">
      <c r="A444" s="96">
        <v>301240</v>
      </c>
      <c r="B444" s="1286" t="s">
        <v>342</v>
      </c>
      <c r="C444" s="1022"/>
      <c r="D444" s="1358"/>
      <c r="E444" s="1022"/>
      <c r="F444" s="1032">
        <v>2.5407807587004529</v>
      </c>
      <c r="G444" s="390">
        <f t="shared" si="96"/>
        <v>2.4178069699793512</v>
      </c>
      <c r="H444" s="390">
        <f t="shared" si="97"/>
        <v>2.4743135500174271</v>
      </c>
      <c r="I444" s="387"/>
      <c r="J444" s="388">
        <f t="shared" si="98"/>
        <v>2.3505978725165555</v>
      </c>
      <c r="K444" s="388">
        <f t="shared" si="99"/>
        <v>2.5980292275182988</v>
      </c>
      <c r="L444" s="1316">
        <v>2.493443257599091</v>
      </c>
      <c r="M444" s="61" t="b">
        <f t="shared" si="110"/>
        <v>1</v>
      </c>
      <c r="N444" s="857">
        <f t="shared" si="101"/>
        <v>2.493443257599091</v>
      </c>
      <c r="O444" s="15"/>
      <c r="P444" s="445">
        <f t="shared" si="107"/>
        <v>-0.11564055947891812</v>
      </c>
      <c r="Q444" s="445">
        <f t="shared" si="109"/>
        <v>0.11965716497447285</v>
      </c>
      <c r="R444" s="445">
        <f t="shared" si="108"/>
        <v>0</v>
      </c>
      <c r="S444" s="445">
        <f t="shared" si="108"/>
        <v>4.5077847876074375E-3</v>
      </c>
      <c r="T444" s="445">
        <f t="shared" si="108"/>
        <v>0.10439943999514392</v>
      </c>
      <c r="U444" s="445">
        <f t="shared" si="108"/>
        <v>-1.3662816871048566E-2</v>
      </c>
      <c r="V444" s="445">
        <f t="shared" si="108"/>
        <v>-5.1401059697158997E-4</v>
      </c>
      <c r="W444" s="445">
        <f t="shared" si="108"/>
        <v>-4.2499664868300063E-2</v>
      </c>
      <c r="X444" s="445">
        <f t="shared" si="108"/>
        <v>3.3533695592121693E-3</v>
      </c>
      <c r="Y444" s="43"/>
      <c r="Z444" s="388">
        <f t="shared" si="103"/>
        <v>2.5530439651002892</v>
      </c>
      <c r="AA444" s="43"/>
      <c r="AB444" s="462">
        <f>IF('TAR_Tab 2_Volumina'!C447="storage",1,0)</f>
        <v>0</v>
      </c>
      <c r="AC444" s="389">
        <f t="shared" si="102"/>
        <v>2.5530439651002892</v>
      </c>
      <c r="AD444" s="389">
        <f t="shared" si="104"/>
        <v>2.7248411706934124</v>
      </c>
      <c r="AE444" s="43"/>
      <c r="AF444" s="1027">
        <f t="shared" si="105"/>
        <v>2.7248411706934124</v>
      </c>
      <c r="AG444" s="392">
        <f t="shared" si="106"/>
        <v>2.7250000000000001</v>
      </c>
      <c r="AH444" s="392">
        <f>AG444+'TAR_Tab 14_Overige tarieven'!$AA$14+'TAR_Tab 14_Overige tarieven'!$AA$15</f>
        <v>2.9050000000000002</v>
      </c>
      <c r="AI444" s="43"/>
    </row>
    <row r="445" spans="1:35">
      <c r="A445" s="96">
        <v>301241</v>
      </c>
      <c r="B445" s="1286" t="s">
        <v>343</v>
      </c>
      <c r="C445" s="1022"/>
      <c r="D445" s="1358"/>
      <c r="E445" s="1022"/>
      <c r="F445" s="1032">
        <v>2.5537796370409112</v>
      </c>
      <c r="G445" s="390">
        <f t="shared" si="96"/>
        <v>2.4301767026081311</v>
      </c>
      <c r="H445" s="390">
        <f t="shared" si="97"/>
        <v>2.4869723757357369</v>
      </c>
      <c r="I445" s="387"/>
      <c r="J445" s="388">
        <f t="shared" si="98"/>
        <v>2.3626237569489499</v>
      </c>
      <c r="K445" s="388">
        <f t="shared" si="99"/>
        <v>2.611320994522524</v>
      </c>
      <c r="L445" s="1316">
        <v>2.5061999527383225</v>
      </c>
      <c r="M445" s="61" t="b">
        <f t="shared" si="110"/>
        <v>1</v>
      </c>
      <c r="N445" s="857">
        <f t="shared" si="101"/>
        <v>2.5061999527383225</v>
      </c>
      <c r="O445" s="15"/>
      <c r="P445" s="445">
        <f t="shared" si="107"/>
        <v>-0.11623218768561858</v>
      </c>
      <c r="Q445" s="445">
        <f t="shared" si="109"/>
        <v>0.12026934252058387</v>
      </c>
      <c r="R445" s="445">
        <f t="shared" si="108"/>
        <v>0</v>
      </c>
      <c r="S445" s="445">
        <f t="shared" si="108"/>
        <v>4.5308470474417131E-3</v>
      </c>
      <c r="T445" s="445">
        <f t="shared" si="108"/>
        <v>0.10493355755513481</v>
      </c>
      <c r="U445" s="445">
        <f t="shared" si="108"/>
        <v>-1.3732717154135392E-2</v>
      </c>
      <c r="V445" s="445">
        <f t="shared" si="108"/>
        <v>-5.1664032454366024E-4</v>
      </c>
      <c r="W445" s="445">
        <f t="shared" si="108"/>
        <v>-4.2717097234804546E-2</v>
      </c>
      <c r="X445" s="445">
        <f t="shared" si="108"/>
        <v>3.3705257198850371E-3</v>
      </c>
      <c r="Y445" s="43"/>
      <c r="Z445" s="388">
        <f t="shared" si="103"/>
        <v>2.5661055831822659</v>
      </c>
      <c r="AA445" s="43"/>
      <c r="AB445" s="462">
        <f>IF('TAR_Tab 2_Volumina'!C448="storage",1,0)</f>
        <v>0</v>
      </c>
      <c r="AC445" s="389">
        <f t="shared" si="102"/>
        <v>2.5661055831822659</v>
      </c>
      <c r="AD445" s="389">
        <f t="shared" si="104"/>
        <v>2.7387817197760622</v>
      </c>
      <c r="AE445" s="43"/>
      <c r="AF445" s="1027">
        <f t="shared" si="105"/>
        <v>2.7387817197760622</v>
      </c>
      <c r="AG445" s="392">
        <f t="shared" si="106"/>
        <v>2.7389999999999999</v>
      </c>
      <c r="AH445" s="392">
        <f>AG445+'TAR_Tab 14_Overige tarieven'!$AA$14+'TAR_Tab 14_Overige tarieven'!$AA$15</f>
        <v>2.919</v>
      </c>
      <c r="AI445" s="43"/>
    </row>
    <row r="446" spans="1:35">
      <c r="A446" s="96">
        <v>301242</v>
      </c>
      <c r="B446" s="1286" t="s">
        <v>344</v>
      </c>
      <c r="C446" s="1022"/>
      <c r="D446" s="1358"/>
      <c r="E446" s="1022"/>
      <c r="F446" s="1032">
        <v>2.4087921478588719</v>
      </c>
      <c r="G446" s="390">
        <f t="shared" si="96"/>
        <v>2.2922066079025023</v>
      </c>
      <c r="H446" s="390">
        <f t="shared" si="97"/>
        <v>2.3457777811853533</v>
      </c>
      <c r="I446" s="387"/>
      <c r="J446" s="388">
        <f t="shared" si="98"/>
        <v>2.2284888921260855</v>
      </c>
      <c r="K446" s="388">
        <f t="shared" si="99"/>
        <v>2.4630666702446211</v>
      </c>
      <c r="L446" s="1316">
        <v>2.3639137377238142</v>
      </c>
      <c r="M446" s="61" t="b">
        <f t="shared" si="110"/>
        <v>1</v>
      </c>
      <c r="N446" s="857">
        <f t="shared" si="101"/>
        <v>2.3639137377238142</v>
      </c>
      <c r="O446" s="15"/>
      <c r="P446" s="445">
        <f t="shared" si="107"/>
        <v>-0.10963325768780552</v>
      </c>
      <c r="Q446" s="445">
        <f t="shared" si="109"/>
        <v>0.11344120835242233</v>
      </c>
      <c r="R446" s="445">
        <f t="shared" si="108"/>
        <v>0</v>
      </c>
      <c r="S446" s="445">
        <f t="shared" si="108"/>
        <v>4.273614149290169E-3</v>
      </c>
      <c r="T446" s="445">
        <f t="shared" si="108"/>
        <v>9.8976092462928683E-2</v>
      </c>
      <c r="U446" s="445">
        <f t="shared" si="108"/>
        <v>-1.2953060150474618E-2</v>
      </c>
      <c r="V446" s="445">
        <f t="shared" si="108"/>
        <v>-4.8730874777826074E-4</v>
      </c>
      <c r="W446" s="445">
        <f t="shared" si="108"/>
        <v>-4.0291890069946823E-2</v>
      </c>
      <c r="X446" s="445">
        <f t="shared" si="108"/>
        <v>3.1791685431492001E-3</v>
      </c>
      <c r="Y446" s="43"/>
      <c r="Z446" s="388">
        <f t="shared" si="103"/>
        <v>2.4204183045755991</v>
      </c>
      <c r="AA446" s="43"/>
      <c r="AB446" s="462">
        <f>IF('TAR_Tab 2_Volumina'!C449="storage",1,0)</f>
        <v>0</v>
      </c>
      <c r="AC446" s="389">
        <f t="shared" si="102"/>
        <v>2.4204183045755991</v>
      </c>
      <c r="AD446" s="389">
        <f t="shared" si="104"/>
        <v>2.5832909800080404</v>
      </c>
      <c r="AE446" s="43"/>
      <c r="AF446" s="1027">
        <f t="shared" si="105"/>
        <v>2.5832909800080404</v>
      </c>
      <c r="AG446" s="392">
        <f t="shared" si="106"/>
        <v>2.5830000000000002</v>
      </c>
      <c r="AH446" s="392">
        <f>AG446+'TAR_Tab 14_Overige tarieven'!$AA$14+'TAR_Tab 14_Overige tarieven'!$AA$15</f>
        <v>2.7630000000000003</v>
      </c>
      <c r="AI446" s="43"/>
    </row>
    <row r="447" spans="1:35">
      <c r="A447" s="96">
        <v>301243</v>
      </c>
      <c r="B447" s="1286" t="s">
        <v>345</v>
      </c>
      <c r="C447" s="1022"/>
      <c r="D447" s="1358"/>
      <c r="E447" s="1022"/>
      <c r="F447" s="1032">
        <v>2.5577792919148998</v>
      </c>
      <c r="G447" s="390">
        <f t="shared" si="96"/>
        <v>2.4339827741862186</v>
      </c>
      <c r="H447" s="390">
        <f t="shared" si="97"/>
        <v>2.4908673990336796</v>
      </c>
      <c r="I447" s="387"/>
      <c r="J447" s="388">
        <f t="shared" si="98"/>
        <v>2.3663240290819956</v>
      </c>
      <c r="K447" s="388">
        <f t="shared" si="99"/>
        <v>2.6154107689853636</v>
      </c>
      <c r="L447" s="1316">
        <v>2.5101250897042409</v>
      </c>
      <c r="M447" s="61" t="b">
        <f t="shared" si="110"/>
        <v>1</v>
      </c>
      <c r="N447" s="857">
        <f t="shared" si="101"/>
        <v>2.5101250897042409</v>
      </c>
      <c r="O447" s="15"/>
      <c r="P447" s="445">
        <f t="shared" si="107"/>
        <v>-0.11641422713383416</v>
      </c>
      <c r="Q447" s="445">
        <f t="shared" si="109"/>
        <v>0.12045770484246422</v>
      </c>
      <c r="R447" s="445">
        <f t="shared" si="108"/>
        <v>0</v>
      </c>
      <c r="S447" s="445">
        <f t="shared" si="108"/>
        <v>4.537943127390723E-3</v>
      </c>
      <c r="T447" s="445">
        <f t="shared" si="108"/>
        <v>0.10509790141974742</v>
      </c>
      <c r="U447" s="445">
        <f t="shared" si="108"/>
        <v>-1.3754224933546728E-2</v>
      </c>
      <c r="V447" s="445">
        <f t="shared" si="108"/>
        <v>-5.1744947148891281E-4</v>
      </c>
      <c r="W447" s="445">
        <f t="shared" si="108"/>
        <v>-4.2783999501421324E-2</v>
      </c>
      <c r="X447" s="445">
        <f t="shared" si="108"/>
        <v>3.3758045385536128E-3</v>
      </c>
      <c r="Y447" s="43"/>
      <c r="Z447" s="388">
        <f t="shared" si="103"/>
        <v>2.5701245425921058</v>
      </c>
      <c r="AA447" s="43"/>
      <c r="AB447" s="462">
        <f>IF('TAR_Tab 2_Volumina'!C450="storage",1,0)</f>
        <v>0</v>
      </c>
      <c r="AC447" s="389">
        <f t="shared" si="102"/>
        <v>2.5701245425921058</v>
      </c>
      <c r="AD447" s="389">
        <f t="shared" si="104"/>
        <v>2.7430711194938016</v>
      </c>
      <c r="AE447" s="43"/>
      <c r="AF447" s="1027">
        <f t="shared" si="105"/>
        <v>2.7430711194938016</v>
      </c>
      <c r="AG447" s="392">
        <f t="shared" si="106"/>
        <v>2.7429999999999999</v>
      </c>
      <c r="AH447" s="392">
        <f>AG447+'TAR_Tab 14_Overige tarieven'!$AA$14+'TAR_Tab 14_Overige tarieven'!$AA$15</f>
        <v>2.923</v>
      </c>
      <c r="AI447" s="43"/>
    </row>
    <row r="448" spans="1:35">
      <c r="A448" s="96">
        <v>301244</v>
      </c>
      <c r="B448" s="1286" t="s">
        <v>346</v>
      </c>
      <c r="C448" s="1022"/>
      <c r="D448" s="1358"/>
      <c r="E448" s="1022"/>
      <c r="F448" s="1032">
        <v>2.2288076785294404</v>
      </c>
      <c r="G448" s="390">
        <f t="shared" si="96"/>
        <v>2.1209333868886153</v>
      </c>
      <c r="H448" s="390">
        <f t="shared" si="97"/>
        <v>2.1705017327779781</v>
      </c>
      <c r="I448" s="387"/>
      <c r="J448" s="388">
        <f t="shared" si="98"/>
        <v>2.0619766461390792</v>
      </c>
      <c r="K448" s="388">
        <f t="shared" si="99"/>
        <v>2.279026819416877</v>
      </c>
      <c r="L448" s="1316">
        <v>2.1872825742575253</v>
      </c>
      <c r="M448" s="61" t="b">
        <f t="shared" si="110"/>
        <v>1</v>
      </c>
      <c r="N448" s="857">
        <f t="shared" si="101"/>
        <v>2.1872825742575253</v>
      </c>
      <c r="O448" s="15"/>
      <c r="P448" s="445">
        <f t="shared" si="107"/>
        <v>-0.1014414825181064</v>
      </c>
      <c r="Q448" s="445">
        <f t="shared" si="109"/>
        <v>0.10496490386780789</v>
      </c>
      <c r="R448" s="445">
        <f t="shared" si="108"/>
        <v>0</v>
      </c>
      <c r="S448" s="445">
        <f t="shared" si="108"/>
        <v>3.9542905515847987E-3</v>
      </c>
      <c r="T448" s="445">
        <f t="shared" si="108"/>
        <v>9.1580618555362342E-2</v>
      </c>
      <c r="U448" s="445">
        <f t="shared" si="108"/>
        <v>-1.1985210076964676E-2</v>
      </c>
      <c r="V448" s="445">
        <f t="shared" si="108"/>
        <v>-4.5089713524190227E-4</v>
      </c>
      <c r="W448" s="445">
        <f t="shared" si="108"/>
        <v>-3.7281288072192366E-2</v>
      </c>
      <c r="X448" s="445">
        <f t="shared" si="108"/>
        <v>2.9416217030633304E-3</v>
      </c>
      <c r="Y448" s="43"/>
      <c r="Z448" s="388">
        <f t="shared" si="103"/>
        <v>2.2395651311328382</v>
      </c>
      <c r="AA448" s="43"/>
      <c r="AB448" s="462">
        <f>IF('TAR_Tab 2_Volumina'!C451="storage",1,0)</f>
        <v>0</v>
      </c>
      <c r="AC448" s="389">
        <f t="shared" si="102"/>
        <v>2.2395651311328382</v>
      </c>
      <c r="AD448" s="389">
        <f t="shared" si="104"/>
        <v>2.3902679927098043</v>
      </c>
      <c r="AE448" s="43"/>
      <c r="AF448" s="1027">
        <f t="shared" si="105"/>
        <v>2.3902679927098043</v>
      </c>
      <c r="AG448" s="392">
        <f t="shared" si="106"/>
        <v>2.39</v>
      </c>
      <c r="AH448" s="392">
        <f>AG448+'TAR_Tab 14_Overige tarieven'!$AA$14+'TAR_Tab 14_Overige tarieven'!$AA$15</f>
        <v>2.5700000000000003</v>
      </c>
      <c r="AI448" s="43"/>
    </row>
    <row r="449" spans="1:35">
      <c r="A449" s="96">
        <v>301245</v>
      </c>
      <c r="B449" s="1286" t="s">
        <v>347</v>
      </c>
      <c r="C449" s="1022"/>
      <c r="D449" s="1358"/>
      <c r="E449" s="1022"/>
      <c r="F449" s="1032">
        <v>2.2268078510924472</v>
      </c>
      <c r="G449" s="390">
        <f t="shared" si="96"/>
        <v>2.1190303510995729</v>
      </c>
      <c r="H449" s="390">
        <f t="shared" si="97"/>
        <v>2.1685542211290083</v>
      </c>
      <c r="I449" s="387"/>
      <c r="J449" s="388">
        <f t="shared" si="98"/>
        <v>2.0601265100725579</v>
      </c>
      <c r="K449" s="388">
        <f t="shared" si="99"/>
        <v>2.2769819321854587</v>
      </c>
      <c r="L449" s="1316">
        <v>2.1853200057745674</v>
      </c>
      <c r="M449" s="61" t="b">
        <f t="shared" si="110"/>
        <v>1</v>
      </c>
      <c r="N449" s="857">
        <f t="shared" si="101"/>
        <v>2.1853200057745674</v>
      </c>
      <c r="O449" s="15"/>
      <c r="P449" s="445">
        <f t="shared" si="107"/>
        <v>-0.10135046279399867</v>
      </c>
      <c r="Q449" s="445">
        <f t="shared" si="109"/>
        <v>0.10487072270686777</v>
      </c>
      <c r="R449" s="445">
        <f t="shared" si="108"/>
        <v>0</v>
      </c>
      <c r="S449" s="445">
        <f t="shared" si="108"/>
        <v>3.9507425116102959E-3</v>
      </c>
      <c r="T449" s="445">
        <f t="shared" si="108"/>
        <v>9.149844662305609E-2</v>
      </c>
      <c r="U449" s="445">
        <f t="shared" si="108"/>
        <v>-1.1974456187259015E-2</v>
      </c>
      <c r="V449" s="445">
        <f t="shared" si="108"/>
        <v>-4.5049256176927626E-4</v>
      </c>
      <c r="W449" s="445">
        <f t="shared" si="108"/>
        <v>-3.7247836938884005E-2</v>
      </c>
      <c r="X449" s="445">
        <f t="shared" si="108"/>
        <v>2.9389822937290438E-3</v>
      </c>
      <c r="Y449" s="43"/>
      <c r="Z449" s="388">
        <f t="shared" si="103"/>
        <v>2.2375556514279196</v>
      </c>
      <c r="AA449" s="43"/>
      <c r="AB449" s="462">
        <f>IF('TAR_Tab 2_Volumina'!C452="storage",1,0)</f>
        <v>0</v>
      </c>
      <c r="AC449" s="389">
        <f t="shared" si="102"/>
        <v>2.2375556514279196</v>
      </c>
      <c r="AD449" s="389">
        <f t="shared" si="104"/>
        <v>2.3881232928509362</v>
      </c>
      <c r="AE449" s="43"/>
      <c r="AF449" s="1027">
        <f t="shared" si="105"/>
        <v>2.3881232928509362</v>
      </c>
      <c r="AG449" s="392">
        <f t="shared" si="106"/>
        <v>2.3879999999999999</v>
      </c>
      <c r="AH449" s="392">
        <f>AG449+'TAR_Tab 14_Overige tarieven'!$AA$14+'TAR_Tab 14_Overige tarieven'!$AA$15</f>
        <v>2.5680000000000001</v>
      </c>
      <c r="AI449" s="43"/>
    </row>
    <row r="450" spans="1:35">
      <c r="A450" s="96">
        <v>301246</v>
      </c>
      <c r="B450" s="1286" t="s">
        <v>348</v>
      </c>
      <c r="C450" s="1022"/>
      <c r="D450" s="1358"/>
      <c r="E450" s="1022"/>
      <c r="F450" s="1032">
        <v>0.26397722168316395</v>
      </c>
      <c r="G450" s="390">
        <f t="shared" si="96"/>
        <v>0.25120072415369882</v>
      </c>
      <c r="H450" s="390">
        <f t="shared" si="97"/>
        <v>0.25707153766414825</v>
      </c>
      <c r="I450" s="387"/>
      <c r="J450" s="388">
        <f t="shared" si="98"/>
        <v>0.24421796078094082</v>
      </c>
      <c r="K450" s="388">
        <f t="shared" si="99"/>
        <v>0.26992511454735568</v>
      </c>
      <c r="L450" s="1316">
        <v>0.25905903975055489</v>
      </c>
      <c r="M450" s="61" t="b">
        <f t="shared" si="110"/>
        <v>1</v>
      </c>
      <c r="N450" s="857">
        <f t="shared" si="101"/>
        <v>0.25905903975055489</v>
      </c>
      <c r="O450" s="15"/>
      <c r="P450" s="445">
        <f t="shared" si="107"/>
        <v>-1.2014603582225258E-2</v>
      </c>
      <c r="Q450" s="445">
        <f t="shared" si="109"/>
        <v>1.2431913244101074E-2</v>
      </c>
      <c r="R450" s="445">
        <f t="shared" si="108"/>
        <v>0</v>
      </c>
      <c r="S450" s="445">
        <f t="shared" si="108"/>
        <v>4.6834127663453889E-4</v>
      </c>
      <c r="T450" s="445">
        <f t="shared" si="108"/>
        <v>1.0846695064430537E-2</v>
      </c>
      <c r="U450" s="445">
        <f t="shared" si="108"/>
        <v>-1.4195134411479028E-3</v>
      </c>
      <c r="V450" s="445">
        <f t="shared" si="108"/>
        <v>-5.3403698386658695E-5</v>
      </c>
      <c r="W450" s="445">
        <f t="shared" si="108"/>
        <v>-4.4155495967064997E-3</v>
      </c>
      <c r="X450" s="445">
        <f t="shared" si="108"/>
        <v>3.4840203212593959E-4</v>
      </c>
      <c r="Y450" s="43"/>
      <c r="Z450" s="388">
        <f t="shared" si="103"/>
        <v>0.26525132104938065</v>
      </c>
      <c r="AA450" s="43"/>
      <c r="AB450" s="462">
        <f>IF('TAR_Tab 2_Volumina'!C453="storage",1,0)</f>
        <v>0</v>
      </c>
      <c r="AC450" s="389">
        <f t="shared" si="102"/>
        <v>0.26525132104938065</v>
      </c>
      <c r="AD450" s="389">
        <f t="shared" si="104"/>
        <v>0.28310038137074406</v>
      </c>
      <c r="AE450" s="43"/>
      <c r="AF450" s="1027">
        <f t="shared" si="105"/>
        <v>0.28310038137074406</v>
      </c>
      <c r="AG450" s="392">
        <f t="shared" si="106"/>
        <v>0.28299999999999997</v>
      </c>
      <c r="AH450" s="392">
        <f>AG450+'TAR_Tab 14_Overige tarieven'!$AA$14+'TAR_Tab 14_Overige tarieven'!$AA$15</f>
        <v>0.46299999999999997</v>
      </c>
      <c r="AI450" s="43"/>
    </row>
    <row r="451" spans="1:35">
      <c r="A451" s="96">
        <v>301248</v>
      </c>
      <c r="B451" s="1286" t="s">
        <v>349</v>
      </c>
      <c r="C451" s="1022"/>
      <c r="D451" s="1358"/>
      <c r="E451" s="1022"/>
      <c r="F451" s="1032">
        <v>0.8099301119824347</v>
      </c>
      <c r="G451" s="390">
        <f t="shared" si="96"/>
        <v>0.77072949456248485</v>
      </c>
      <c r="H451" s="390">
        <f t="shared" si="97"/>
        <v>0.78874221783318199</v>
      </c>
      <c r="I451" s="387"/>
      <c r="J451" s="388">
        <f t="shared" si="98"/>
        <v>0.74930510694152286</v>
      </c>
      <c r="K451" s="388">
        <f t="shared" si="99"/>
        <v>0.82817932872484112</v>
      </c>
      <c r="L451" s="1316">
        <v>0.79484023559829331</v>
      </c>
      <c r="M451" s="61" t="b">
        <f t="shared" si="110"/>
        <v>1</v>
      </c>
      <c r="N451" s="857">
        <f t="shared" si="101"/>
        <v>0.79484023559829331</v>
      </c>
      <c r="O451" s="15"/>
      <c r="P451" s="445">
        <f t="shared" si="107"/>
        <v>-3.6862988263645674E-2</v>
      </c>
      <c r="Q451" s="445">
        <f t="shared" si="109"/>
        <v>3.8143370180764649E-2</v>
      </c>
      <c r="R451" s="445">
        <f t="shared" si="108"/>
        <v>0</v>
      </c>
      <c r="S451" s="445">
        <f t="shared" si="108"/>
        <v>1.4369561896741532E-3</v>
      </c>
      <c r="T451" s="445">
        <f t="shared" si="108"/>
        <v>3.3279632584048237E-2</v>
      </c>
      <c r="U451" s="445">
        <f t="shared" si="108"/>
        <v>-4.3553253307947017E-3</v>
      </c>
      <c r="V451" s="445">
        <f t="shared" si="108"/>
        <v>-1.6385225641361189E-4</v>
      </c>
      <c r="W451" s="445">
        <f t="shared" si="108"/>
        <v>-1.3547708989894941E-2</v>
      </c>
      <c r="X451" s="445">
        <f t="shared" si="108"/>
        <v>1.0689607803864055E-3</v>
      </c>
      <c r="Y451" s="43"/>
      <c r="Z451" s="388">
        <f t="shared" si="103"/>
        <v>0.81383928049241783</v>
      </c>
      <c r="AA451" s="43"/>
      <c r="AB451" s="462">
        <f>IF('TAR_Tab 2_Volumina'!C454="storage",1,0)</f>
        <v>0</v>
      </c>
      <c r="AC451" s="389">
        <f t="shared" si="102"/>
        <v>0.81383928049241783</v>
      </c>
      <c r="AD451" s="389">
        <f t="shared" si="104"/>
        <v>0.8686034428420556</v>
      </c>
      <c r="AE451" s="43"/>
      <c r="AF451" s="1027">
        <f t="shared" si="105"/>
        <v>0.8686034428420556</v>
      </c>
      <c r="AG451" s="392">
        <f t="shared" si="106"/>
        <v>0.86899999999999999</v>
      </c>
      <c r="AH451" s="392">
        <f>AG451+'TAR_Tab 14_Overige tarieven'!$AA$14+'TAR_Tab 14_Overige tarieven'!$AA$15</f>
        <v>1.0489999999999999</v>
      </c>
      <c r="AI451" s="43"/>
    </row>
    <row r="452" spans="1:35">
      <c r="A452" s="96">
        <v>301249</v>
      </c>
      <c r="B452" s="1286" t="s">
        <v>350</v>
      </c>
      <c r="C452" s="1022"/>
      <c r="D452" s="1358"/>
      <c r="E452" s="1022"/>
      <c r="F452" s="1032">
        <v>1.2908886105794122</v>
      </c>
      <c r="G452" s="390">
        <f t="shared" ref="G452:G515" si="111">F452*$G$5</f>
        <v>1.2284096018273687</v>
      </c>
      <c r="H452" s="390">
        <f t="shared" ref="H452:H515" si="112">G452*$H$5</f>
        <v>1.2571187694106651</v>
      </c>
      <c r="I452" s="387"/>
      <c r="J452" s="388">
        <f t="shared" ref="J452:J515" si="113">H452*$J$5</f>
        <v>1.1942628309401317</v>
      </c>
      <c r="K452" s="388">
        <f t="shared" ref="K452:K515" si="114">H452*$K$5</f>
        <v>1.3199747078811985</v>
      </c>
      <c r="L452" s="1316">
        <v>1.2571187694106651</v>
      </c>
      <c r="M452" s="61" t="b">
        <f t="shared" si="110"/>
        <v>1</v>
      </c>
      <c r="N452" s="857">
        <f t="shared" si="101"/>
        <v>1.2571187694106651</v>
      </c>
      <c r="O452" s="15"/>
      <c r="P452" s="445">
        <f t="shared" si="107"/>
        <v>-5.8302476859279848E-2</v>
      </c>
      <c r="Q452" s="445">
        <f t="shared" si="109"/>
        <v>6.0327528017910116E-2</v>
      </c>
      <c r="R452" s="445">
        <f t="shared" si="108"/>
        <v>0</v>
      </c>
      <c r="S452" s="445">
        <f t="shared" si="108"/>
        <v>2.2726889203092183E-3</v>
      </c>
      <c r="T452" s="445">
        <f t="shared" si="108"/>
        <v>5.263504398340705E-2</v>
      </c>
      <c r="U452" s="445">
        <f t="shared" si="108"/>
        <v>-6.8883795447401601E-3</v>
      </c>
      <c r="V452" s="445">
        <f t="shared" si="108"/>
        <v>-2.5914861593889196E-4</v>
      </c>
      <c r="W452" s="445">
        <f t="shared" si="108"/>
        <v>-2.1427047211432213E-2</v>
      </c>
      <c r="X452" s="445">
        <f t="shared" si="108"/>
        <v>1.6906676343279316E-3</v>
      </c>
      <c r="Y452" s="43"/>
      <c r="Z452" s="388">
        <f t="shared" si="103"/>
        <v>1.2871676457352283</v>
      </c>
      <c r="AA452" s="43"/>
      <c r="AB452" s="462">
        <f>IF('TAR_Tab 2_Volumina'!C455="storage",1,0)</f>
        <v>0</v>
      </c>
      <c r="AC452" s="389">
        <f t="shared" si="102"/>
        <v>1.2871676457352283</v>
      </c>
      <c r="AD452" s="389">
        <f t="shared" si="104"/>
        <v>1.3737826072047636</v>
      </c>
      <c r="AE452" s="43"/>
      <c r="AF452" s="1027">
        <f t="shared" si="105"/>
        <v>1.3737826072047636</v>
      </c>
      <c r="AG452" s="392">
        <f t="shared" si="106"/>
        <v>1.3740000000000001</v>
      </c>
      <c r="AH452" s="392">
        <f>AG452+'TAR_Tab 14_Overige tarieven'!$AA$14+'TAR_Tab 14_Overige tarieven'!$AA$15</f>
        <v>1.554</v>
      </c>
      <c r="AI452" s="43"/>
    </row>
    <row r="453" spans="1:35">
      <c r="A453" s="96">
        <v>301250</v>
      </c>
      <c r="B453" s="1286" t="s">
        <v>351</v>
      </c>
      <c r="C453" s="1022"/>
      <c r="D453" s="1358"/>
      <c r="E453" s="1022"/>
      <c r="F453" s="1032">
        <v>0.33897075057042647</v>
      </c>
      <c r="G453" s="390">
        <f t="shared" si="111"/>
        <v>0.32256456624281782</v>
      </c>
      <c r="H453" s="390">
        <f t="shared" si="112"/>
        <v>0.33010322450055402</v>
      </c>
      <c r="I453" s="387"/>
      <c r="J453" s="388">
        <f t="shared" si="113"/>
        <v>0.31359806327552631</v>
      </c>
      <c r="K453" s="388">
        <f t="shared" si="114"/>
        <v>0.34660838572558172</v>
      </c>
      <c r="L453" s="1316">
        <v>0.33265535786150802</v>
      </c>
      <c r="M453" s="61" t="b">
        <f t="shared" si="110"/>
        <v>1</v>
      </c>
      <c r="N453" s="857">
        <f t="shared" si="101"/>
        <v>0.33265535786150802</v>
      </c>
      <c r="O453" s="15"/>
      <c r="P453" s="445">
        <f t="shared" si="107"/>
        <v>-1.5427843236266526E-2</v>
      </c>
      <c r="Q453" s="445">
        <f t="shared" si="109"/>
        <v>1.5963706779357063E-2</v>
      </c>
      <c r="R453" s="445">
        <f t="shared" si="108"/>
        <v>0</v>
      </c>
      <c r="S453" s="445">
        <f t="shared" si="108"/>
        <v>6.0139277567844201E-4</v>
      </c>
      <c r="T453" s="445">
        <f t="shared" si="108"/>
        <v>1.3928142525916487E-2</v>
      </c>
      <c r="U453" s="445">
        <f t="shared" si="108"/>
        <v>-1.8227843051103754E-3</v>
      </c>
      <c r="V453" s="445">
        <f t="shared" si="108"/>
        <v>-6.857520361014128E-5</v>
      </c>
      <c r="W453" s="445">
        <f t="shared" si="108"/>
        <v>-5.6699670957708476E-3</v>
      </c>
      <c r="X453" s="445">
        <f t="shared" si="108"/>
        <v>4.4737988216171794E-4</v>
      </c>
      <c r="Y453" s="43"/>
      <c r="Z453" s="388">
        <f t="shared" si="103"/>
        <v>0.34060680998386383</v>
      </c>
      <c r="AA453" s="43"/>
      <c r="AB453" s="462">
        <f>IF('TAR_Tab 2_Volumina'!C456="storage",1,0)</f>
        <v>0</v>
      </c>
      <c r="AC453" s="389">
        <f t="shared" si="102"/>
        <v>0.34060680998386383</v>
      </c>
      <c r="AD453" s="389">
        <f t="shared" si="104"/>
        <v>0.36352662607834185</v>
      </c>
      <c r="AE453" s="43"/>
      <c r="AF453" s="1027">
        <f t="shared" si="105"/>
        <v>0.36352662607834185</v>
      </c>
      <c r="AG453" s="392">
        <f t="shared" si="106"/>
        <v>0.36399999999999999</v>
      </c>
      <c r="AH453" s="392">
        <f>AG453+'TAR_Tab 14_Overige tarieven'!$AA$14+'TAR_Tab 14_Overige tarieven'!$AA$15</f>
        <v>0.54400000000000004</v>
      </c>
      <c r="AI453" s="43"/>
    </row>
    <row r="454" spans="1:35">
      <c r="A454" s="96">
        <v>301251</v>
      </c>
      <c r="B454" s="1286" t="s">
        <v>352</v>
      </c>
      <c r="C454" s="1022"/>
      <c r="D454" s="1358"/>
      <c r="E454" s="1022"/>
      <c r="F454" s="1032">
        <v>0.94791820513499803</v>
      </c>
      <c r="G454" s="390">
        <f t="shared" si="111"/>
        <v>0.90203896400646411</v>
      </c>
      <c r="H454" s="390">
        <f t="shared" si="112"/>
        <v>0.92312052161216895</v>
      </c>
      <c r="I454" s="387"/>
      <c r="J454" s="388">
        <f t="shared" si="113"/>
        <v>0.87696449553156042</v>
      </c>
      <c r="K454" s="388">
        <f t="shared" si="114"/>
        <v>0.96927654769277749</v>
      </c>
      <c r="L454" s="1316">
        <v>0.93025746092244743</v>
      </c>
      <c r="M454" s="61" t="b">
        <f t="shared" si="110"/>
        <v>1</v>
      </c>
      <c r="N454" s="857">
        <f t="shared" si="101"/>
        <v>0.93025746092244743</v>
      </c>
      <c r="O454" s="15"/>
      <c r="P454" s="445">
        <f t="shared" si="107"/>
        <v>-4.3143349227081622E-2</v>
      </c>
      <c r="Q454" s="445">
        <f t="shared" si="109"/>
        <v>4.4641870285635689E-2</v>
      </c>
      <c r="R454" s="445">
        <f t="shared" si="108"/>
        <v>0</v>
      </c>
      <c r="S454" s="445">
        <f t="shared" si="108"/>
        <v>1.6817709479149357E-3</v>
      </c>
      <c r="T454" s="445">
        <f t="shared" si="108"/>
        <v>3.8949495913182398E-2</v>
      </c>
      <c r="U454" s="445">
        <f t="shared" si="108"/>
        <v>-5.0973437204856527E-3</v>
      </c>
      <c r="V454" s="445">
        <f t="shared" ref="R454:X490" si="115">$N454*V$5</f>
        <v>-1.9176782602481994E-4</v>
      </c>
      <c r="W454" s="445">
        <f t="shared" si="115"/>
        <v>-1.5855837188173346E-2</v>
      </c>
      <c r="X454" s="445">
        <f t="shared" si="115"/>
        <v>1.2510800244522381E-3</v>
      </c>
      <c r="Y454" s="43"/>
      <c r="Z454" s="388">
        <f t="shared" si="103"/>
        <v>0.95249338013186724</v>
      </c>
      <c r="AA454" s="43"/>
      <c r="AB454" s="462">
        <f>IF('TAR_Tab 2_Volumina'!C457="storage",1,0)</f>
        <v>0</v>
      </c>
      <c r="AC454" s="389">
        <f t="shared" si="102"/>
        <v>0.95249338013186724</v>
      </c>
      <c r="AD454" s="389">
        <f t="shared" si="104"/>
        <v>1.0165877331040358</v>
      </c>
      <c r="AE454" s="43"/>
      <c r="AF454" s="1027">
        <f t="shared" si="105"/>
        <v>1.0165877331040358</v>
      </c>
      <c r="AG454" s="392">
        <f t="shared" si="106"/>
        <v>1.0169999999999999</v>
      </c>
      <c r="AH454" s="392">
        <f>AG454+'TAR_Tab 14_Overige tarieven'!$AA$14+'TAR_Tab 14_Overige tarieven'!$AA$15</f>
        <v>1.1969999999999998</v>
      </c>
      <c r="AI454" s="43"/>
    </row>
    <row r="455" spans="1:35">
      <c r="A455" s="96">
        <v>301252</v>
      </c>
      <c r="B455" s="1286" t="s">
        <v>353</v>
      </c>
      <c r="C455" s="1022"/>
      <c r="D455" s="1358"/>
      <c r="E455" s="1022"/>
      <c r="F455" s="1032">
        <v>1.0309110437702351</v>
      </c>
      <c r="G455" s="390">
        <f t="shared" si="111"/>
        <v>0.9810149492517557</v>
      </c>
      <c r="H455" s="390">
        <f t="shared" si="112"/>
        <v>1.0039422550444579</v>
      </c>
      <c r="I455" s="387"/>
      <c r="J455" s="388">
        <f t="shared" si="113"/>
        <v>0.95374514229223495</v>
      </c>
      <c r="K455" s="388">
        <f t="shared" si="114"/>
        <v>1.0541393677966808</v>
      </c>
      <c r="L455" s="1316">
        <v>1.0117040529652355</v>
      </c>
      <c r="M455" s="61" t="b">
        <f t="shared" si="110"/>
        <v>1</v>
      </c>
      <c r="N455" s="857">
        <f t="shared" ref="N455:N518" si="116">IF(L455&gt;0,L455,H455)</f>
        <v>1.0117040529652355</v>
      </c>
      <c r="O455" s="15"/>
      <c r="P455" s="445">
        <f t="shared" si="107"/>
        <v>-4.6920667777553951E-2</v>
      </c>
      <c r="Q455" s="445">
        <f t="shared" si="109"/>
        <v>4.855038846465231E-2</v>
      </c>
      <c r="R455" s="445">
        <f t="shared" si="115"/>
        <v>0</v>
      </c>
      <c r="S455" s="445">
        <f t="shared" si="115"/>
        <v>1.829014606856855E-3</v>
      </c>
      <c r="T455" s="445">
        <f t="shared" si="115"/>
        <v>4.2359631103893507E-2</v>
      </c>
      <c r="U455" s="445">
        <f t="shared" si="115"/>
        <v>-5.5436301432707884E-3</v>
      </c>
      <c r="V455" s="445">
        <f t="shared" si="115"/>
        <v>-2.0855762513880731E-4</v>
      </c>
      <c r="W455" s="445">
        <f t="shared" si="115"/>
        <v>-1.7244059220471224E-2</v>
      </c>
      <c r="X455" s="445">
        <f t="shared" si="115"/>
        <v>1.3606155118251661E-3</v>
      </c>
      <c r="Y455" s="43"/>
      <c r="Z455" s="388">
        <f t="shared" si="103"/>
        <v>1.0358867878860285</v>
      </c>
      <c r="AA455" s="43"/>
      <c r="AB455" s="462">
        <f>IF('TAR_Tab 2_Volumina'!C458="storage",1,0)</f>
        <v>0</v>
      </c>
      <c r="AC455" s="389">
        <f t="shared" ref="AC455:AC518" si="117">IF(AB455=1,Z455*$AC$5,Z455)</f>
        <v>1.0358867878860285</v>
      </c>
      <c r="AD455" s="389">
        <f t="shared" si="104"/>
        <v>1.1055927772471106</v>
      </c>
      <c r="AE455" s="43"/>
      <c r="AF455" s="1027">
        <f t="shared" si="105"/>
        <v>1.1055927772471106</v>
      </c>
      <c r="AG455" s="392">
        <f t="shared" si="106"/>
        <v>1.1060000000000001</v>
      </c>
      <c r="AH455" s="392">
        <f>AG455+'TAR_Tab 14_Overige tarieven'!$AA$14+'TAR_Tab 14_Overige tarieven'!$AA$15</f>
        <v>1.286</v>
      </c>
      <c r="AI455" s="43"/>
    </row>
    <row r="456" spans="1:35">
      <c r="A456" s="96">
        <v>301253</v>
      </c>
      <c r="B456" s="1286" t="s">
        <v>354</v>
      </c>
      <c r="C456" s="1022"/>
      <c r="D456" s="1358"/>
      <c r="E456" s="1022"/>
      <c r="F456" s="1032">
        <v>0.33897075057042647</v>
      </c>
      <c r="G456" s="390">
        <f t="shared" si="111"/>
        <v>0.32256456624281782</v>
      </c>
      <c r="H456" s="390">
        <f t="shared" si="112"/>
        <v>0.33010322450055402</v>
      </c>
      <c r="I456" s="387"/>
      <c r="J456" s="388">
        <f t="shared" si="113"/>
        <v>0.31359806327552631</v>
      </c>
      <c r="K456" s="388">
        <f t="shared" si="114"/>
        <v>0.34660838572558172</v>
      </c>
      <c r="L456" s="1316">
        <v>0.33265535786150802</v>
      </c>
      <c r="M456" s="61" t="b">
        <f t="shared" si="110"/>
        <v>1</v>
      </c>
      <c r="N456" s="857">
        <f t="shared" si="116"/>
        <v>0.33265535786150802</v>
      </c>
      <c r="O456" s="15"/>
      <c r="P456" s="445">
        <f t="shared" si="107"/>
        <v>-1.5427843236266526E-2</v>
      </c>
      <c r="Q456" s="445">
        <f t="shared" si="109"/>
        <v>1.5963706779357063E-2</v>
      </c>
      <c r="R456" s="445">
        <f t="shared" si="115"/>
        <v>0</v>
      </c>
      <c r="S456" s="445">
        <f t="shared" si="115"/>
        <v>6.0139277567844201E-4</v>
      </c>
      <c r="T456" s="445">
        <f t="shared" si="115"/>
        <v>1.3928142525916487E-2</v>
      </c>
      <c r="U456" s="445">
        <f t="shared" si="115"/>
        <v>-1.8227843051103754E-3</v>
      </c>
      <c r="V456" s="445">
        <f t="shared" si="115"/>
        <v>-6.857520361014128E-5</v>
      </c>
      <c r="W456" s="445">
        <f t="shared" si="115"/>
        <v>-5.6699670957708476E-3</v>
      </c>
      <c r="X456" s="445">
        <f t="shared" si="115"/>
        <v>4.4737988216171794E-4</v>
      </c>
      <c r="Y456" s="43"/>
      <c r="Z456" s="388">
        <f t="shared" ref="Z456:Z519" si="118">N456+SUM(P456:X456)</f>
        <v>0.34060680998386383</v>
      </c>
      <c r="AA456" s="43"/>
      <c r="AB456" s="462">
        <f>IF('TAR_Tab 2_Volumina'!C459="storage",1,0)</f>
        <v>0</v>
      </c>
      <c r="AC456" s="389">
        <f t="shared" si="117"/>
        <v>0.34060680998386383</v>
      </c>
      <c r="AD456" s="389">
        <f t="shared" ref="AD456:AD519" si="119">IF(AB456=0,AC456*(1+$AD$5),AC456)</f>
        <v>0.36352662607834185</v>
      </c>
      <c r="AE456" s="43"/>
      <c r="AF456" s="1027">
        <f t="shared" ref="AF456:AF519" si="120">AD456</f>
        <v>0.36352662607834185</v>
      </c>
      <c r="AG456" s="392">
        <f t="shared" ref="AG456:AG519" si="121">ROUND(AD456,3)</f>
        <v>0.36399999999999999</v>
      </c>
      <c r="AH456" s="392">
        <f>AG456+'TAR_Tab 14_Overige tarieven'!$AA$14+'TAR_Tab 14_Overige tarieven'!$AA$15</f>
        <v>0.54400000000000004</v>
      </c>
      <c r="AI456" s="43"/>
    </row>
    <row r="457" spans="1:35">
      <c r="A457" s="96">
        <v>301254</v>
      </c>
      <c r="B457" s="1286" t="s">
        <v>355</v>
      </c>
      <c r="C457" s="1022"/>
      <c r="D457" s="1358"/>
      <c r="E457" s="1022"/>
      <c r="F457" s="1032">
        <v>1.1948968936037152</v>
      </c>
      <c r="G457" s="390">
        <f t="shared" si="111"/>
        <v>1.1370638839532954</v>
      </c>
      <c r="H457" s="390">
        <f t="shared" si="112"/>
        <v>1.1636382102600646</v>
      </c>
      <c r="I457" s="387"/>
      <c r="J457" s="388">
        <f t="shared" si="113"/>
        <v>1.1054562997470614</v>
      </c>
      <c r="K457" s="388">
        <f t="shared" si="114"/>
        <v>1.2218201207730679</v>
      </c>
      <c r="L457" s="1316">
        <v>1.1726346685678524</v>
      </c>
      <c r="M457" s="61" t="b">
        <f t="shared" si="110"/>
        <v>1</v>
      </c>
      <c r="N457" s="857">
        <f t="shared" si="116"/>
        <v>1.1726346685678524</v>
      </c>
      <c r="O457" s="15"/>
      <c r="P457" s="445">
        <f t="shared" si="107"/>
        <v>-5.4384285154390831E-2</v>
      </c>
      <c r="Q457" s="445">
        <f t="shared" si="109"/>
        <v>5.6273243661745374E-2</v>
      </c>
      <c r="R457" s="445">
        <f t="shared" si="115"/>
        <v>0</v>
      </c>
      <c r="S457" s="445">
        <f t="shared" si="115"/>
        <v>2.1199538847661886E-3</v>
      </c>
      <c r="T457" s="445">
        <f t="shared" si="115"/>
        <v>4.909772955300943E-2</v>
      </c>
      <c r="U457" s="445">
        <f t="shared" si="115"/>
        <v>-6.4254490991353923E-3</v>
      </c>
      <c r="V457" s="445">
        <f t="shared" si="115"/>
        <v>-2.4173264989415578E-4</v>
      </c>
      <c r="W457" s="445">
        <f t="shared" si="115"/>
        <v>-1.9987052151758583E-2</v>
      </c>
      <c r="X457" s="445">
        <f t="shared" si="115"/>
        <v>1.577047077236734E-3</v>
      </c>
      <c r="Y457" s="43"/>
      <c r="Z457" s="388">
        <f t="shared" si="118"/>
        <v>1.2006641236894311</v>
      </c>
      <c r="AA457" s="43"/>
      <c r="AB457" s="462">
        <f>IF('TAR_Tab 2_Volumina'!C460="storage",1,0)</f>
        <v>0</v>
      </c>
      <c r="AC457" s="389">
        <f t="shared" si="117"/>
        <v>1.2006641236894311</v>
      </c>
      <c r="AD457" s="389">
        <f t="shared" si="119"/>
        <v>1.2814581656743904</v>
      </c>
      <c r="AE457" s="43"/>
      <c r="AF457" s="1027">
        <f t="shared" si="120"/>
        <v>1.2814581656743904</v>
      </c>
      <c r="AG457" s="392">
        <f t="shared" si="121"/>
        <v>1.2809999999999999</v>
      </c>
      <c r="AH457" s="392">
        <f>AG457+'TAR_Tab 14_Overige tarieven'!$AA$14+'TAR_Tab 14_Overige tarieven'!$AA$15</f>
        <v>1.4609999999999999</v>
      </c>
      <c r="AI457" s="43"/>
    </row>
    <row r="458" spans="1:35">
      <c r="A458" s="96">
        <v>301255</v>
      </c>
      <c r="B458" s="1286" t="s">
        <v>356</v>
      </c>
      <c r="C458" s="1022"/>
      <c r="D458" s="1358"/>
      <c r="E458" s="1022"/>
      <c r="F458" s="1032">
        <v>0.96991630694192821</v>
      </c>
      <c r="G458" s="390">
        <f t="shared" si="111"/>
        <v>0.92297235768593888</v>
      </c>
      <c r="H458" s="390">
        <f t="shared" si="112"/>
        <v>0.94454314975084785</v>
      </c>
      <c r="I458" s="387"/>
      <c r="J458" s="388">
        <f t="shared" si="113"/>
        <v>0.89731599226330538</v>
      </c>
      <c r="K458" s="388">
        <f t="shared" si="114"/>
        <v>0.99177030723839033</v>
      </c>
      <c r="L458" s="1316">
        <v>0.95184571423499353</v>
      </c>
      <c r="M458" s="61" t="b">
        <f t="shared" si="110"/>
        <v>1</v>
      </c>
      <c r="N458" s="857">
        <f t="shared" si="116"/>
        <v>0.95184571423499353</v>
      </c>
      <c r="O458" s="15"/>
      <c r="P458" s="445">
        <f t="shared" ref="P458:P521" si="122">$N458*P$5</f>
        <v>-4.4144566192267053E-2</v>
      </c>
      <c r="Q458" s="445">
        <f t="shared" si="109"/>
        <v>4.5677863055977437E-2</v>
      </c>
      <c r="R458" s="445">
        <f t="shared" si="115"/>
        <v>0</v>
      </c>
      <c r="S458" s="445">
        <f t="shared" si="115"/>
        <v>1.7207993876344804E-3</v>
      </c>
      <c r="T458" s="445">
        <f t="shared" si="115"/>
        <v>3.98533871685516E-2</v>
      </c>
      <c r="U458" s="445">
        <f t="shared" si="115"/>
        <v>-5.2156365072479772E-3</v>
      </c>
      <c r="V458" s="445">
        <f t="shared" si="115"/>
        <v>-1.9621813422370811E-4</v>
      </c>
      <c r="W458" s="445">
        <f t="shared" si="115"/>
        <v>-1.6223799654565552E-2</v>
      </c>
      <c r="X458" s="445">
        <f t="shared" si="115"/>
        <v>1.2801135271293996E-3</v>
      </c>
      <c r="Y458" s="43"/>
      <c r="Z458" s="388">
        <f t="shared" si="118"/>
        <v>0.97459765688598221</v>
      </c>
      <c r="AA458" s="43"/>
      <c r="AB458" s="462">
        <f>IF('TAR_Tab 2_Volumina'!C461="storage",1,0)</f>
        <v>0</v>
      </c>
      <c r="AC458" s="389">
        <f t="shared" si="117"/>
        <v>0.97459765688598221</v>
      </c>
      <c r="AD458" s="389">
        <f t="shared" si="119"/>
        <v>1.0401794315515978</v>
      </c>
      <c r="AE458" s="43"/>
      <c r="AF458" s="1027">
        <f t="shared" si="120"/>
        <v>1.0401794315515978</v>
      </c>
      <c r="AG458" s="392">
        <f t="shared" si="121"/>
        <v>1.04</v>
      </c>
      <c r="AH458" s="392">
        <f>AG458+'TAR_Tab 14_Overige tarieven'!$AA$14+'TAR_Tab 14_Overige tarieven'!$AA$15</f>
        <v>1.22</v>
      </c>
      <c r="AI458" s="43"/>
    </row>
    <row r="459" spans="1:35">
      <c r="A459" s="96">
        <v>301257</v>
      </c>
      <c r="B459" s="1286" t="s">
        <v>357</v>
      </c>
      <c r="C459" s="1022"/>
      <c r="D459" s="1358"/>
      <c r="E459" s="1022"/>
      <c r="F459" s="1032">
        <v>1.3978793784585728</v>
      </c>
      <c r="G459" s="390">
        <f t="shared" si="111"/>
        <v>1.3302220165411778</v>
      </c>
      <c r="H459" s="390">
        <f t="shared" si="112"/>
        <v>1.3613106426306032</v>
      </c>
      <c r="I459" s="387"/>
      <c r="J459" s="388">
        <f t="shared" si="113"/>
        <v>1.293245110499073</v>
      </c>
      <c r="K459" s="388">
        <f t="shared" si="114"/>
        <v>1.4293761747621334</v>
      </c>
      <c r="L459" s="1316">
        <v>1.3718353695881658</v>
      </c>
      <c r="M459" s="61" t="b">
        <f t="shared" si="110"/>
        <v>1</v>
      </c>
      <c r="N459" s="857">
        <f t="shared" si="116"/>
        <v>1.3718353695881658</v>
      </c>
      <c r="O459" s="15"/>
      <c r="P459" s="445">
        <f t="shared" si="122"/>
        <v>-6.3622787151329213E-2</v>
      </c>
      <c r="Q459" s="445">
        <f t="shared" si="109"/>
        <v>6.5832631497171598E-2</v>
      </c>
      <c r="R459" s="445">
        <f t="shared" si="115"/>
        <v>0</v>
      </c>
      <c r="S459" s="445">
        <f t="shared" si="115"/>
        <v>2.480079942178354E-3</v>
      </c>
      <c r="T459" s="445">
        <f t="shared" si="115"/>
        <v>5.7438180682098078E-2</v>
      </c>
      <c r="U459" s="445">
        <f t="shared" si="115"/>
        <v>-7.5169689042604857E-3</v>
      </c>
      <c r="V459" s="445">
        <f t="shared" si="115"/>
        <v>-2.827968573657154E-4</v>
      </c>
      <c r="W459" s="445">
        <f t="shared" si="115"/>
        <v>-2.3382342182559423E-2</v>
      </c>
      <c r="X459" s="445">
        <f t="shared" si="115"/>
        <v>1.8449471246669076E-3</v>
      </c>
      <c r="Y459" s="43"/>
      <c r="Z459" s="388">
        <f t="shared" si="118"/>
        <v>1.4046263137387658</v>
      </c>
      <c r="AA459" s="43"/>
      <c r="AB459" s="462">
        <f>IF('TAR_Tab 2_Volumina'!C462="storage",1,0)</f>
        <v>0</v>
      </c>
      <c r="AC459" s="389">
        <f t="shared" si="117"/>
        <v>1.4046263137387658</v>
      </c>
      <c r="AD459" s="389">
        <f t="shared" si="119"/>
        <v>1.499145201349622</v>
      </c>
      <c r="AE459" s="43"/>
      <c r="AF459" s="1027">
        <f t="shared" si="120"/>
        <v>1.499145201349622</v>
      </c>
      <c r="AG459" s="392">
        <f t="shared" si="121"/>
        <v>1.4990000000000001</v>
      </c>
      <c r="AH459" s="392">
        <f>AG459+'TAR_Tab 14_Overige tarieven'!$AA$14+'TAR_Tab 14_Overige tarieven'!$AA$15</f>
        <v>1.679</v>
      </c>
      <c r="AI459" s="43"/>
    </row>
    <row r="460" spans="1:35">
      <c r="A460" s="96">
        <v>301259</v>
      </c>
      <c r="B460" s="1286" t="s">
        <v>358</v>
      </c>
      <c r="C460" s="1022"/>
      <c r="D460" s="1358"/>
      <c r="E460" s="1022"/>
      <c r="F460" s="1032">
        <v>1.4258769625764842</v>
      </c>
      <c r="G460" s="390">
        <f t="shared" si="111"/>
        <v>1.3568645175877825</v>
      </c>
      <c r="H460" s="390">
        <f t="shared" si="112"/>
        <v>1.388575805716195</v>
      </c>
      <c r="I460" s="387"/>
      <c r="J460" s="388">
        <f t="shared" si="113"/>
        <v>1.3191470154303853</v>
      </c>
      <c r="K460" s="388">
        <f t="shared" si="114"/>
        <v>1.4580045960020047</v>
      </c>
      <c r="L460" s="1316">
        <v>1.3993113283495886</v>
      </c>
      <c r="M460" s="61" t="b">
        <f t="shared" si="110"/>
        <v>1</v>
      </c>
      <c r="N460" s="857">
        <f t="shared" si="116"/>
        <v>1.3993113283495886</v>
      </c>
      <c r="O460" s="15"/>
      <c r="P460" s="445">
        <f t="shared" si="122"/>
        <v>-6.4897063288837958E-2</v>
      </c>
      <c r="Q460" s="445">
        <f t="shared" si="109"/>
        <v>6.7151167750333848E-2</v>
      </c>
      <c r="R460" s="445">
        <f t="shared" si="115"/>
        <v>0</v>
      </c>
      <c r="S460" s="445">
        <f t="shared" si="115"/>
        <v>2.5297525018214118E-3</v>
      </c>
      <c r="T460" s="445">
        <f t="shared" si="115"/>
        <v>5.8588587734386174E-2</v>
      </c>
      <c r="U460" s="445">
        <f t="shared" si="115"/>
        <v>-7.6675233601398111E-3</v>
      </c>
      <c r="V460" s="445">
        <f t="shared" si="115"/>
        <v>-2.884608859824823E-4</v>
      </c>
      <c r="W460" s="445">
        <f t="shared" si="115"/>
        <v>-2.3850658048876785E-2</v>
      </c>
      <c r="X460" s="445">
        <f t="shared" si="115"/>
        <v>1.8818988553469321E-3</v>
      </c>
      <c r="Y460" s="43"/>
      <c r="Z460" s="388">
        <f t="shared" si="118"/>
        <v>1.43275902960764</v>
      </c>
      <c r="AA460" s="43"/>
      <c r="AB460" s="462">
        <f>IF('TAR_Tab 2_Volumina'!C463="storage",1,0)</f>
        <v>0</v>
      </c>
      <c r="AC460" s="389">
        <f t="shared" si="117"/>
        <v>1.43275902960764</v>
      </c>
      <c r="AD460" s="389">
        <f t="shared" si="119"/>
        <v>1.5291709993737925</v>
      </c>
      <c r="AE460" s="43"/>
      <c r="AF460" s="1027">
        <f t="shared" si="120"/>
        <v>1.5291709993737925</v>
      </c>
      <c r="AG460" s="392">
        <f t="shared" si="121"/>
        <v>1.5289999999999999</v>
      </c>
      <c r="AH460" s="392">
        <f>AG460+'TAR_Tab 14_Overige tarieven'!$AA$14+'TAR_Tab 14_Overige tarieven'!$AA$15</f>
        <v>1.7089999999999999</v>
      </c>
      <c r="AI460" s="43"/>
    </row>
    <row r="461" spans="1:35">
      <c r="A461" s="96">
        <v>301263</v>
      </c>
      <c r="B461" s="1286" t="s">
        <v>359</v>
      </c>
      <c r="C461" s="1022"/>
      <c r="D461" s="1358"/>
      <c r="E461" s="1022"/>
      <c r="F461" s="1032">
        <v>1.7078526311925906</v>
      </c>
      <c r="G461" s="390">
        <f t="shared" si="111"/>
        <v>1.6251925638428693</v>
      </c>
      <c r="H461" s="390">
        <f t="shared" si="112"/>
        <v>1.66317494822108</v>
      </c>
      <c r="I461" s="387"/>
      <c r="J461" s="388">
        <f t="shared" si="113"/>
        <v>1.580016200810026</v>
      </c>
      <c r="K461" s="388">
        <f t="shared" si="114"/>
        <v>1.746333695632134</v>
      </c>
      <c r="L461" s="1316">
        <v>1.6760334844467715</v>
      </c>
      <c r="M461" s="61" t="b">
        <f t="shared" si="110"/>
        <v>1</v>
      </c>
      <c r="N461" s="857">
        <f t="shared" si="116"/>
        <v>1.6760334844467715</v>
      </c>
      <c r="O461" s="15"/>
      <c r="P461" s="445">
        <f t="shared" si="122"/>
        <v>-7.7730844388033085E-2</v>
      </c>
      <c r="Q461" s="445">
        <f t="shared" si="109"/>
        <v>8.0430711442896319E-2</v>
      </c>
      <c r="R461" s="445">
        <f t="shared" si="115"/>
        <v>0</v>
      </c>
      <c r="S461" s="445">
        <f t="shared" si="115"/>
        <v>3.0300261382264857E-3</v>
      </c>
      <c r="T461" s="445">
        <f t="shared" si="115"/>
        <v>7.0174830189573309E-2</v>
      </c>
      <c r="U461" s="445">
        <f t="shared" si="115"/>
        <v>-9.1838218086387029E-3</v>
      </c>
      <c r="V461" s="445">
        <f t="shared" si="115"/>
        <v>-3.4550574562277665E-4</v>
      </c>
      <c r="W461" s="445">
        <f t="shared" si="115"/>
        <v>-2.8567267845358714E-2</v>
      </c>
      <c r="X461" s="445">
        <f t="shared" si="115"/>
        <v>2.2540555714814572E-3</v>
      </c>
      <c r="Y461" s="43"/>
      <c r="Z461" s="388">
        <f t="shared" si="118"/>
        <v>1.7160956680012958</v>
      </c>
      <c r="AA461" s="43"/>
      <c r="AB461" s="462">
        <f>IF('TAR_Tab 2_Volumina'!C464="storage",1,0)</f>
        <v>0</v>
      </c>
      <c r="AC461" s="389">
        <f t="shared" si="117"/>
        <v>1.7160956680012958</v>
      </c>
      <c r="AD461" s="389">
        <f t="shared" si="119"/>
        <v>1.8315736794743591</v>
      </c>
      <c r="AE461" s="43"/>
      <c r="AF461" s="1027">
        <f t="shared" si="120"/>
        <v>1.8315736794743591</v>
      </c>
      <c r="AG461" s="392">
        <f t="shared" si="121"/>
        <v>1.8320000000000001</v>
      </c>
      <c r="AH461" s="392">
        <f>AG461+'TAR_Tab 14_Overige tarieven'!$AA$14+'TAR_Tab 14_Overige tarieven'!$AA$15</f>
        <v>2.012</v>
      </c>
      <c r="AI461" s="43"/>
    </row>
    <row r="462" spans="1:35">
      <c r="A462" s="96">
        <v>301264</v>
      </c>
      <c r="B462" s="1286" t="s">
        <v>360</v>
      </c>
      <c r="C462" s="1022"/>
      <c r="D462" s="1358"/>
      <c r="E462" s="1022"/>
      <c r="F462" s="1032">
        <v>1.1698990506412945</v>
      </c>
      <c r="G462" s="390">
        <f t="shared" si="111"/>
        <v>1.1132759365902558</v>
      </c>
      <c r="H462" s="390">
        <f t="shared" si="112"/>
        <v>1.1392943146479295</v>
      </c>
      <c r="I462" s="387"/>
      <c r="J462" s="388">
        <f t="shared" si="113"/>
        <v>1.082329598915533</v>
      </c>
      <c r="K462" s="388">
        <f t="shared" si="114"/>
        <v>1.196259030380326</v>
      </c>
      <c r="L462" s="1316">
        <v>1.1481025625308681</v>
      </c>
      <c r="M462" s="61" t="b">
        <f t="shared" si="110"/>
        <v>1</v>
      </c>
      <c r="N462" s="857">
        <f t="shared" si="116"/>
        <v>1.1481025625308681</v>
      </c>
      <c r="O462" s="15"/>
      <c r="P462" s="445">
        <f t="shared" si="122"/>
        <v>-5.3246538603043743E-2</v>
      </c>
      <c r="Q462" s="445">
        <f t="shared" si="109"/>
        <v>5.5095979149993382E-2</v>
      </c>
      <c r="R462" s="445">
        <f t="shared" si="115"/>
        <v>0</v>
      </c>
      <c r="S462" s="445">
        <f t="shared" si="115"/>
        <v>2.0756033850848881E-3</v>
      </c>
      <c r="T462" s="445">
        <f t="shared" si="115"/>
        <v>4.807058039918078E-2</v>
      </c>
      <c r="U462" s="445">
        <f t="shared" si="115"/>
        <v>-6.2910254778145687E-3</v>
      </c>
      <c r="V462" s="445">
        <f t="shared" si="115"/>
        <v>-2.3667548148632826E-4</v>
      </c>
      <c r="W462" s="445">
        <f t="shared" si="115"/>
        <v>-1.9568912985403804E-2</v>
      </c>
      <c r="X462" s="445">
        <f t="shared" si="115"/>
        <v>1.5440544605581413E-3</v>
      </c>
      <c r="Y462" s="43"/>
      <c r="Z462" s="388">
        <f t="shared" si="118"/>
        <v>1.1755456273779368</v>
      </c>
      <c r="AA462" s="43"/>
      <c r="AB462" s="462">
        <f>IF('TAR_Tab 2_Volumina'!C465="storage",1,0)</f>
        <v>0</v>
      </c>
      <c r="AC462" s="389">
        <f t="shared" si="117"/>
        <v>1.1755456273779368</v>
      </c>
      <c r="AD462" s="389">
        <f t="shared" si="119"/>
        <v>1.2546494174385248</v>
      </c>
      <c r="AE462" s="43"/>
      <c r="AF462" s="1027">
        <f t="shared" si="120"/>
        <v>1.2546494174385248</v>
      </c>
      <c r="AG462" s="392">
        <f t="shared" si="121"/>
        <v>1.2549999999999999</v>
      </c>
      <c r="AH462" s="392">
        <f>AG462+'TAR_Tab 14_Overige tarieven'!$AA$14+'TAR_Tab 14_Overige tarieven'!$AA$15</f>
        <v>1.4349999999999998</v>
      </c>
      <c r="AI462" s="43"/>
    </row>
    <row r="463" spans="1:35">
      <c r="A463" s="96">
        <v>301265</v>
      </c>
      <c r="B463" s="1286" t="s">
        <v>361</v>
      </c>
      <c r="C463" s="1022"/>
      <c r="D463" s="1358"/>
      <c r="E463" s="1022"/>
      <c r="F463" s="1032">
        <v>1.5988620358764365</v>
      </c>
      <c r="G463" s="390">
        <f t="shared" si="111"/>
        <v>1.5214771133400169</v>
      </c>
      <c r="H463" s="390">
        <f t="shared" si="112"/>
        <v>1.5570355633521709</v>
      </c>
      <c r="I463" s="387"/>
      <c r="J463" s="388">
        <f t="shared" si="113"/>
        <v>1.4791837851845622</v>
      </c>
      <c r="K463" s="388">
        <f t="shared" si="114"/>
        <v>1.6348873415197795</v>
      </c>
      <c r="L463" s="1316">
        <v>1.5690735021255202</v>
      </c>
      <c r="M463" s="61" t="b">
        <f t="shared" si="110"/>
        <v>1</v>
      </c>
      <c r="N463" s="857">
        <f t="shared" si="116"/>
        <v>1.5690735021255202</v>
      </c>
      <c r="O463" s="15"/>
      <c r="P463" s="445">
        <f t="shared" si="122"/>
        <v>-7.2770269424159817E-2</v>
      </c>
      <c r="Q463" s="445">
        <f t="shared" si="109"/>
        <v>7.5297838171657652E-2</v>
      </c>
      <c r="R463" s="445">
        <f t="shared" si="115"/>
        <v>0</v>
      </c>
      <c r="S463" s="445">
        <f t="shared" si="115"/>
        <v>2.8366579596160145E-3</v>
      </c>
      <c r="T463" s="445">
        <f t="shared" si="115"/>
        <v>6.5696459878880425E-2</v>
      </c>
      <c r="U463" s="445">
        <f t="shared" si="115"/>
        <v>-8.5977348196799135E-3</v>
      </c>
      <c r="V463" s="445">
        <f t="shared" si="115"/>
        <v>-3.2345649136464875E-4</v>
      </c>
      <c r="W463" s="445">
        <f t="shared" si="115"/>
        <v>-2.6744181080051874E-2</v>
      </c>
      <c r="X463" s="445">
        <f t="shared" si="115"/>
        <v>2.1102077627627937E-3</v>
      </c>
      <c r="Y463" s="43"/>
      <c r="Z463" s="388">
        <f t="shared" si="118"/>
        <v>1.6065790240831808</v>
      </c>
      <c r="AA463" s="43"/>
      <c r="AB463" s="462">
        <f>IF('TAR_Tab 2_Volumina'!C466="storage",1,0)</f>
        <v>0</v>
      </c>
      <c r="AC463" s="389">
        <f t="shared" si="117"/>
        <v>1.6065790240831808</v>
      </c>
      <c r="AD463" s="389">
        <f t="shared" si="119"/>
        <v>1.7146875371659842</v>
      </c>
      <c r="AE463" s="43"/>
      <c r="AF463" s="1027">
        <f t="shared" si="120"/>
        <v>1.7146875371659842</v>
      </c>
      <c r="AG463" s="392">
        <f t="shared" si="121"/>
        <v>1.7150000000000001</v>
      </c>
      <c r="AH463" s="392">
        <f>AG463+'TAR_Tab 14_Overige tarieven'!$AA$14+'TAR_Tab 14_Overige tarieven'!$AA$15</f>
        <v>1.895</v>
      </c>
      <c r="AI463" s="43"/>
    </row>
    <row r="464" spans="1:35">
      <c r="A464" s="96">
        <v>301266</v>
      </c>
      <c r="B464" s="1286" t="s">
        <v>362</v>
      </c>
      <c r="C464" s="1022"/>
      <c r="D464" s="1358"/>
      <c r="E464" s="1022"/>
      <c r="F464" s="1032">
        <v>1.906835461173461</v>
      </c>
      <c r="G464" s="390">
        <f t="shared" si="111"/>
        <v>1.8145446248526655</v>
      </c>
      <c r="H464" s="390">
        <f t="shared" si="112"/>
        <v>1.8569523572936772</v>
      </c>
      <c r="I464" s="387"/>
      <c r="J464" s="388">
        <f t="shared" si="113"/>
        <v>1.7641047394289933</v>
      </c>
      <c r="K464" s="388">
        <f t="shared" si="114"/>
        <v>1.9497999751583612</v>
      </c>
      <c r="L464" s="1316">
        <v>1.8713090485011676</v>
      </c>
      <c r="M464" s="61" t="b">
        <f t="shared" si="110"/>
        <v>1</v>
      </c>
      <c r="N464" s="857">
        <f t="shared" si="116"/>
        <v>1.8713090485011676</v>
      </c>
      <c r="O464" s="15"/>
      <c r="P464" s="445">
        <f t="shared" si="122"/>
        <v>-8.6787306936755945E-2</v>
      </c>
      <c r="Q464" s="445">
        <f t="shared" si="109"/>
        <v>8.9801736956442238E-2</v>
      </c>
      <c r="R464" s="445">
        <f t="shared" si="115"/>
        <v>0</v>
      </c>
      <c r="S464" s="445">
        <f t="shared" si="115"/>
        <v>3.3830561156896434E-3</v>
      </c>
      <c r="T464" s="445">
        <f t="shared" si="115"/>
        <v>7.8350937454049377E-2</v>
      </c>
      <c r="U464" s="445">
        <f t="shared" si="115"/>
        <v>-1.0253833834352466E-2</v>
      </c>
      <c r="V464" s="445">
        <f t="shared" si="115"/>
        <v>-3.8576080614908392E-4</v>
      </c>
      <c r="W464" s="445">
        <f t="shared" si="115"/>
        <v>-3.1895655609542793E-2</v>
      </c>
      <c r="X464" s="445">
        <f t="shared" si="115"/>
        <v>2.5166768002430565E-3</v>
      </c>
      <c r="Y464" s="43"/>
      <c r="Z464" s="388">
        <f t="shared" si="118"/>
        <v>1.9160388986407917</v>
      </c>
      <c r="AA464" s="43"/>
      <c r="AB464" s="462">
        <f>IF('TAR_Tab 2_Volumina'!C467="storage",1,0)</f>
        <v>0</v>
      </c>
      <c r="AC464" s="389">
        <f t="shared" si="117"/>
        <v>1.9160388986407917</v>
      </c>
      <c r="AD464" s="389">
        <f t="shared" si="119"/>
        <v>2.0449713154318525</v>
      </c>
      <c r="AE464" s="43"/>
      <c r="AF464" s="1027">
        <f t="shared" si="120"/>
        <v>2.0449713154318525</v>
      </c>
      <c r="AG464" s="392">
        <f t="shared" si="121"/>
        <v>2.0449999999999999</v>
      </c>
      <c r="AH464" s="392">
        <f>AG464+'TAR_Tab 14_Overige tarieven'!$AA$14+'TAR_Tab 14_Overige tarieven'!$AA$15</f>
        <v>2.2250000000000001</v>
      </c>
      <c r="AI464" s="43"/>
    </row>
    <row r="465" spans="1:35" s="101" customFormat="1">
      <c r="A465" s="96">
        <v>301271</v>
      </c>
      <c r="B465" s="1286" t="s">
        <v>363</v>
      </c>
      <c r="C465" s="1022"/>
      <c r="D465" s="1358"/>
      <c r="E465" s="1022"/>
      <c r="F465" s="1032">
        <v>1.5768639340695059</v>
      </c>
      <c r="G465" s="390">
        <f t="shared" si="111"/>
        <v>1.5005437196605418</v>
      </c>
      <c r="H465" s="390">
        <f t="shared" si="112"/>
        <v>1.5356129352134917</v>
      </c>
      <c r="I465" s="387"/>
      <c r="J465" s="388">
        <f t="shared" si="113"/>
        <v>1.4588322884528171</v>
      </c>
      <c r="K465" s="388">
        <f t="shared" si="114"/>
        <v>1.6123935819741664</v>
      </c>
      <c r="L465" s="1316">
        <v>1.547485248812974</v>
      </c>
      <c r="M465" s="61" t="b">
        <f t="shared" si="110"/>
        <v>1</v>
      </c>
      <c r="N465" s="857">
        <f t="shared" si="116"/>
        <v>1.547485248812974</v>
      </c>
      <c r="O465" s="15"/>
      <c r="P465" s="445">
        <f t="shared" si="122"/>
        <v>-7.1769052458974372E-2</v>
      </c>
      <c r="Q465" s="445">
        <f t="shared" si="109"/>
        <v>7.426184540131589E-2</v>
      </c>
      <c r="R465" s="445">
        <f t="shared" si="115"/>
        <v>0</v>
      </c>
      <c r="S465" s="445">
        <f t="shared" si="115"/>
        <v>2.7976295198964695E-3</v>
      </c>
      <c r="T465" s="445">
        <f t="shared" si="115"/>
        <v>6.479256862351121E-2</v>
      </c>
      <c r="U465" s="445">
        <f t="shared" si="115"/>
        <v>-8.4794420329175873E-3</v>
      </c>
      <c r="V465" s="445">
        <f t="shared" si="115"/>
        <v>-3.1900618316576054E-4</v>
      </c>
      <c r="W465" s="445">
        <f t="shared" si="115"/>
        <v>-2.6376218613659665E-2</v>
      </c>
      <c r="X465" s="445">
        <f t="shared" si="115"/>
        <v>2.0811742600856322E-3</v>
      </c>
      <c r="Y465" s="43"/>
      <c r="Z465" s="388">
        <f t="shared" si="118"/>
        <v>1.5844747473290659</v>
      </c>
      <c r="AA465" s="43"/>
      <c r="AB465" s="462">
        <f>IF('TAR_Tab 2_Volumina'!C468="storage",1,0)</f>
        <v>0</v>
      </c>
      <c r="AC465" s="389">
        <f t="shared" si="117"/>
        <v>1.5844747473290659</v>
      </c>
      <c r="AD465" s="389">
        <f t="shared" si="119"/>
        <v>1.6910958387184225</v>
      </c>
      <c r="AE465" s="43"/>
      <c r="AF465" s="1027">
        <f t="shared" si="120"/>
        <v>1.6910958387184225</v>
      </c>
      <c r="AG465" s="392">
        <f t="shared" si="121"/>
        <v>1.6910000000000001</v>
      </c>
      <c r="AH465" s="392">
        <f>AG465+'TAR_Tab 14_Overige tarieven'!$AA$14+'TAR_Tab 14_Overige tarieven'!$AA$15</f>
        <v>1.871</v>
      </c>
      <c r="AI465" s="43"/>
    </row>
    <row r="466" spans="1:35">
      <c r="A466" s="96">
        <v>301272</v>
      </c>
      <c r="B466" s="1286" t="s">
        <v>364</v>
      </c>
      <c r="C466" s="1022"/>
      <c r="D466" s="1358"/>
      <c r="E466" s="1022"/>
      <c r="F466" s="1032">
        <v>2.0498231229185078</v>
      </c>
      <c r="G466" s="390">
        <f t="shared" si="111"/>
        <v>1.950611683769252</v>
      </c>
      <c r="H466" s="390">
        <f t="shared" si="112"/>
        <v>1.9961994401950904</v>
      </c>
      <c r="I466" s="387"/>
      <c r="J466" s="388">
        <f t="shared" si="113"/>
        <v>1.8963894681853359</v>
      </c>
      <c r="K466" s="388">
        <f t="shared" si="114"/>
        <v>2.0960094122048449</v>
      </c>
      <c r="L466" s="1316">
        <v>2.0116326950327177</v>
      </c>
      <c r="M466" s="61" t="b">
        <f t="shared" si="110"/>
        <v>1</v>
      </c>
      <c r="N466" s="857">
        <f t="shared" si="116"/>
        <v>2.0116326950327177</v>
      </c>
      <c r="O466" s="15"/>
      <c r="P466" s="445">
        <f t="shared" si="122"/>
        <v>-9.3295217210461273E-2</v>
      </c>
      <c r="Q466" s="445">
        <f t="shared" si="109"/>
        <v>9.6535689963663629E-2</v>
      </c>
      <c r="R466" s="445">
        <f t="shared" si="115"/>
        <v>0</v>
      </c>
      <c r="S466" s="445">
        <f t="shared" si="115"/>
        <v>3.6367409738666842E-3</v>
      </c>
      <c r="T466" s="445">
        <f t="shared" si="115"/>
        <v>8.4226230613949238E-2</v>
      </c>
      <c r="U466" s="445">
        <f t="shared" si="115"/>
        <v>-1.1022736948307578E-2</v>
      </c>
      <c r="V466" s="445">
        <f t="shared" si="115"/>
        <v>-4.1468780944185725E-4</v>
      </c>
      <c r="W466" s="445">
        <f t="shared" si="115"/>
        <v>-3.4287411641092135E-2</v>
      </c>
      <c r="X466" s="445">
        <f t="shared" si="115"/>
        <v>2.7053945676446065E-3</v>
      </c>
      <c r="Y466" s="43"/>
      <c r="Z466" s="388">
        <f t="shared" si="118"/>
        <v>2.0597166975425392</v>
      </c>
      <c r="AA466" s="43"/>
      <c r="AB466" s="462">
        <f>IF('TAR_Tab 2_Volumina'!C469="storage",1,0)</f>
        <v>0</v>
      </c>
      <c r="AC466" s="389">
        <f t="shared" si="117"/>
        <v>2.0597166975425392</v>
      </c>
      <c r="AD466" s="389">
        <f t="shared" si="119"/>
        <v>2.1983173553410054</v>
      </c>
      <c r="AE466" s="43"/>
      <c r="AF466" s="1027">
        <f t="shared" si="120"/>
        <v>2.1983173553410054</v>
      </c>
      <c r="AG466" s="392">
        <f t="shared" si="121"/>
        <v>2.198</v>
      </c>
      <c r="AH466" s="392">
        <f>AG466+'TAR_Tab 14_Overige tarieven'!$AA$14+'TAR_Tab 14_Overige tarieven'!$AA$15</f>
        <v>2.3780000000000001</v>
      </c>
      <c r="AI466" s="43"/>
    </row>
    <row r="467" spans="1:35">
      <c r="A467" s="96">
        <v>301273</v>
      </c>
      <c r="B467" s="1286" t="s">
        <v>365</v>
      </c>
      <c r="C467" s="1022"/>
      <c r="D467" s="1358"/>
      <c r="E467" s="1022"/>
      <c r="F467" s="1032">
        <v>1.1598999134563264</v>
      </c>
      <c r="G467" s="390">
        <f t="shared" si="111"/>
        <v>1.1037607576450401</v>
      </c>
      <c r="H467" s="390">
        <f t="shared" si="112"/>
        <v>1.1295567564030755</v>
      </c>
      <c r="I467" s="387"/>
      <c r="J467" s="388">
        <f t="shared" si="113"/>
        <v>1.0730789185829217</v>
      </c>
      <c r="K467" s="388">
        <f t="shared" si="114"/>
        <v>1.1860345942232293</v>
      </c>
      <c r="L467" s="1316">
        <v>1.1382897201160744</v>
      </c>
      <c r="M467" s="61" t="b">
        <f t="shared" si="110"/>
        <v>1</v>
      </c>
      <c r="N467" s="857">
        <f t="shared" si="116"/>
        <v>1.1382897201160744</v>
      </c>
      <c r="O467" s="15"/>
      <c r="P467" s="445">
        <f t="shared" si="122"/>
        <v>-5.2791439982504913E-2</v>
      </c>
      <c r="Q467" s="445">
        <f t="shared" si="109"/>
        <v>5.4625073345292589E-2</v>
      </c>
      <c r="R467" s="445">
        <f t="shared" si="115"/>
        <v>0</v>
      </c>
      <c r="S467" s="445">
        <f t="shared" si="115"/>
        <v>2.0578631852123676E-3</v>
      </c>
      <c r="T467" s="445">
        <f t="shared" si="115"/>
        <v>4.7659720737649326E-2</v>
      </c>
      <c r="U467" s="445">
        <f t="shared" si="115"/>
        <v>-6.2372560292862393E-3</v>
      </c>
      <c r="V467" s="445">
        <f t="shared" si="115"/>
        <v>-2.3465261412319727E-4</v>
      </c>
      <c r="W467" s="445">
        <f t="shared" si="115"/>
        <v>-1.9401657318861891E-2</v>
      </c>
      <c r="X467" s="445">
        <f t="shared" si="115"/>
        <v>1.5308574138867043E-3</v>
      </c>
      <c r="Y467" s="43"/>
      <c r="Z467" s="388">
        <f t="shared" si="118"/>
        <v>1.1654982288533391</v>
      </c>
      <c r="AA467" s="43"/>
      <c r="AB467" s="462">
        <f>IF('TAR_Tab 2_Volumina'!C470="storage",1,0)</f>
        <v>0</v>
      </c>
      <c r="AC467" s="389">
        <f t="shared" si="117"/>
        <v>1.1654982288533391</v>
      </c>
      <c r="AD467" s="389">
        <f t="shared" si="119"/>
        <v>1.2439259181441784</v>
      </c>
      <c r="AE467" s="43"/>
      <c r="AF467" s="1027">
        <f t="shared" si="120"/>
        <v>1.2439259181441784</v>
      </c>
      <c r="AG467" s="392">
        <f t="shared" si="121"/>
        <v>1.244</v>
      </c>
      <c r="AH467" s="392">
        <f>AG467+'TAR_Tab 14_Overige tarieven'!$AA$14+'TAR_Tab 14_Overige tarieven'!$AA$15</f>
        <v>1.4239999999999999</v>
      </c>
      <c r="AI467" s="43"/>
    </row>
    <row r="468" spans="1:35">
      <c r="A468" s="96">
        <v>301275</v>
      </c>
      <c r="B468" s="1286" t="s">
        <v>366</v>
      </c>
      <c r="C468" s="1022"/>
      <c r="D468" s="1358"/>
      <c r="E468" s="1022"/>
      <c r="F468" s="1032">
        <v>1.4238771351394903</v>
      </c>
      <c r="G468" s="390">
        <f t="shared" si="111"/>
        <v>1.354961481798739</v>
      </c>
      <c r="H468" s="390">
        <f t="shared" si="112"/>
        <v>1.3866282940672239</v>
      </c>
      <c r="I468" s="387"/>
      <c r="J468" s="388">
        <f t="shared" si="113"/>
        <v>1.3172968793638626</v>
      </c>
      <c r="K468" s="388">
        <f t="shared" si="114"/>
        <v>1.4559597087705851</v>
      </c>
      <c r="L468" s="1316">
        <v>1.3973487598666294</v>
      </c>
      <c r="M468" s="61" t="b">
        <f t="shared" si="110"/>
        <v>1</v>
      </c>
      <c r="N468" s="857">
        <f t="shared" si="116"/>
        <v>1.3973487598666294</v>
      </c>
      <c r="O468" s="15"/>
      <c r="P468" s="445">
        <f t="shared" si="122"/>
        <v>-6.4806043564730173E-2</v>
      </c>
      <c r="Q468" s="445">
        <f t="shared" si="109"/>
        <v>6.7056986589393672E-2</v>
      </c>
      <c r="R468" s="445">
        <f t="shared" si="115"/>
        <v>0</v>
      </c>
      <c r="S468" s="445">
        <f t="shared" si="115"/>
        <v>2.5262044618469068E-3</v>
      </c>
      <c r="T468" s="445">
        <f t="shared" si="115"/>
        <v>5.8506415802079867E-2</v>
      </c>
      <c r="U468" s="445">
        <f t="shared" si="115"/>
        <v>-7.6567694704341429E-3</v>
      </c>
      <c r="V468" s="445">
        <f t="shared" si="115"/>
        <v>-2.8805631250985601E-4</v>
      </c>
      <c r="W468" s="445">
        <f t="shared" si="115"/>
        <v>-2.3817206915568396E-2</v>
      </c>
      <c r="X468" s="445">
        <f t="shared" si="115"/>
        <v>1.879259446012644E-3</v>
      </c>
      <c r="Y468" s="43"/>
      <c r="Z468" s="388">
        <f t="shared" si="118"/>
        <v>1.4307495499027199</v>
      </c>
      <c r="AA468" s="43"/>
      <c r="AB468" s="462">
        <f>IF('TAR_Tab 2_Volumina'!C471="storage",1,0)</f>
        <v>0</v>
      </c>
      <c r="AC468" s="389">
        <f t="shared" si="117"/>
        <v>1.4307495499027199</v>
      </c>
      <c r="AD468" s="389">
        <f t="shared" si="119"/>
        <v>1.5270262995149226</v>
      </c>
      <c r="AE468" s="43"/>
      <c r="AF468" s="1027">
        <f t="shared" si="120"/>
        <v>1.5270262995149226</v>
      </c>
      <c r="AG468" s="392">
        <f t="shared" si="121"/>
        <v>1.5269999999999999</v>
      </c>
      <c r="AH468" s="392">
        <f>AG468+'TAR_Tab 14_Overige tarieven'!$AA$14+'TAR_Tab 14_Overige tarieven'!$AA$15</f>
        <v>1.7069999999999999</v>
      </c>
      <c r="AI468" s="43"/>
    </row>
    <row r="469" spans="1:35">
      <c r="A469" s="96">
        <v>301276</v>
      </c>
      <c r="B469" s="1286" t="s">
        <v>47</v>
      </c>
      <c r="C469" s="1022"/>
      <c r="D469" s="1358"/>
      <c r="E469" s="1022"/>
      <c r="F469" s="1032">
        <v>0.37911732859262881</v>
      </c>
      <c r="G469" s="390">
        <f t="shared" si="111"/>
        <v>0.36076804988874556</v>
      </c>
      <c r="H469" s="390">
        <f t="shared" si="112"/>
        <v>0.36919956197359699</v>
      </c>
      <c r="I469" s="387"/>
      <c r="J469" s="388">
        <f t="shared" si="113"/>
        <v>0.3507395838749171</v>
      </c>
      <c r="K469" s="388">
        <f t="shared" si="114"/>
        <v>0.38765954007227688</v>
      </c>
      <c r="L469" s="1316">
        <v>0.3645763328620793</v>
      </c>
      <c r="M469" s="61" t="b">
        <f t="shared" si="110"/>
        <v>1</v>
      </c>
      <c r="N469" s="857">
        <f t="shared" si="116"/>
        <v>0.3645763328620793</v>
      </c>
      <c r="O469" s="15"/>
      <c r="P469" s="445">
        <f t="shared" si="122"/>
        <v>-1.6908269709549496E-2</v>
      </c>
      <c r="Q469" s="445">
        <f t="shared" si="109"/>
        <v>1.7495553698330949E-2</v>
      </c>
      <c r="R469" s="445">
        <f t="shared" si="115"/>
        <v>0</v>
      </c>
      <c r="S469" s="445">
        <f t="shared" si="115"/>
        <v>6.5910128180732242E-4</v>
      </c>
      <c r="T469" s="445">
        <f t="shared" si="115"/>
        <v>1.5264660573400547E-2</v>
      </c>
      <c r="U469" s="445">
        <f t="shared" si="115"/>
        <v>-1.9976952177405147E-3</v>
      </c>
      <c r="V469" s="445">
        <f t="shared" si="115"/>
        <v>-7.5155549630029323E-5</v>
      </c>
      <c r="W469" s="445">
        <f t="shared" si="115"/>
        <v>-6.2140463466858848E-3</v>
      </c>
      <c r="X469" s="445">
        <f t="shared" si="115"/>
        <v>4.9030960416002753E-4</v>
      </c>
      <c r="Y469" s="43"/>
      <c r="Z469" s="388">
        <f t="shared" si="118"/>
        <v>0.3732907911961722</v>
      </c>
      <c r="AA469" s="43"/>
      <c r="AB469" s="462">
        <f>IF('TAR_Tab 2_Volumina'!C472="storage",1,0)</f>
        <v>1</v>
      </c>
      <c r="AC469" s="389">
        <f t="shared" si="117"/>
        <v>0.27996809339712914</v>
      </c>
      <c r="AD469" s="389">
        <f t="shared" si="119"/>
        <v>0.27996809339712914</v>
      </c>
      <c r="AE469" s="43"/>
      <c r="AF469" s="1027">
        <f t="shared" si="120"/>
        <v>0.27996809339712914</v>
      </c>
      <c r="AG469" s="392">
        <f t="shared" si="121"/>
        <v>0.28000000000000003</v>
      </c>
      <c r="AH469" s="392">
        <f>AG469+'TAR_Tab 14_Overige tarieven'!$AA$14+'TAR_Tab 14_Overige tarieven'!$AA$15</f>
        <v>0.46</v>
      </c>
      <c r="AI469" s="43"/>
    </row>
    <row r="470" spans="1:35">
      <c r="A470" s="96">
        <v>301304</v>
      </c>
      <c r="B470" s="1286" t="s">
        <v>255</v>
      </c>
      <c r="C470" s="1022"/>
      <c r="D470" s="1358"/>
      <c r="E470" s="1022"/>
      <c r="F470" s="1032">
        <v>1.2306114044902512</v>
      </c>
      <c r="G470" s="390">
        <f t="shared" si="111"/>
        <v>1.1710498125129229</v>
      </c>
      <c r="H470" s="390">
        <f t="shared" si="112"/>
        <v>1.1984184241436109</v>
      </c>
      <c r="I470" s="387"/>
      <c r="J470" s="388">
        <f t="shared" si="113"/>
        <v>1.1384975029364304</v>
      </c>
      <c r="K470" s="388">
        <f t="shared" si="114"/>
        <v>1.2583393453507914</v>
      </c>
      <c r="L470" s="1316">
        <v>1.2076837793829194</v>
      </c>
      <c r="M470" s="61" t="b">
        <f t="shared" si="110"/>
        <v>1</v>
      </c>
      <c r="N470" s="857">
        <f t="shared" si="116"/>
        <v>1.2076837793829194</v>
      </c>
      <c r="O470" s="15"/>
      <c r="P470" s="445">
        <f t="shared" si="122"/>
        <v>-5.6009787868976618E-2</v>
      </c>
      <c r="Q470" s="445">
        <f t="shared" si="109"/>
        <v>5.7955205832821724E-2</v>
      </c>
      <c r="R470" s="445">
        <f t="shared" si="115"/>
        <v>0</v>
      </c>
      <c r="S470" s="445">
        <f t="shared" si="115"/>
        <v>2.1833176080311234E-3</v>
      </c>
      <c r="T470" s="445">
        <f t="shared" si="115"/>
        <v>5.0565221355868439E-2</v>
      </c>
      <c r="U470" s="445">
        <f t="shared" si="115"/>
        <v>-6.6175006251125452E-3</v>
      </c>
      <c r="V470" s="445">
        <f t="shared" si="115"/>
        <v>-2.4895784514111845E-4</v>
      </c>
      <c r="W470" s="445">
        <f t="shared" si="115"/>
        <v>-2.0584449128422316E-2</v>
      </c>
      <c r="X470" s="445">
        <f t="shared" si="115"/>
        <v>1.6241837509615134E-3</v>
      </c>
      <c r="Y470" s="43"/>
      <c r="Z470" s="388">
        <f t="shared" si="118"/>
        <v>1.2365510124629495</v>
      </c>
      <c r="AA470" s="43"/>
      <c r="AB470" s="462">
        <f>IF('TAR_Tab 2_Volumina'!C473="storage",1,0)</f>
        <v>0</v>
      </c>
      <c r="AC470" s="389">
        <f t="shared" si="117"/>
        <v>1.2365510124629495</v>
      </c>
      <c r="AD470" s="389">
        <f t="shared" si="119"/>
        <v>1.3197599236366107</v>
      </c>
      <c r="AE470" s="43"/>
      <c r="AF470" s="1027">
        <f t="shared" si="120"/>
        <v>1.3197599236366107</v>
      </c>
      <c r="AG470" s="392">
        <f t="shared" si="121"/>
        <v>1.32</v>
      </c>
      <c r="AH470" s="392">
        <f>AG470+'TAR_Tab 14_Overige tarieven'!$AA$14+'TAR_Tab 14_Overige tarieven'!$AA$15</f>
        <v>1.5</v>
      </c>
      <c r="AI470" s="43"/>
    </row>
    <row r="471" spans="1:35">
      <c r="A471" s="96">
        <v>301305</v>
      </c>
      <c r="B471" s="1286" t="s">
        <v>238</v>
      </c>
      <c r="C471" s="1022"/>
      <c r="D471" s="1358"/>
      <c r="E471" s="1022"/>
      <c r="F471" s="1032">
        <v>1.8313006494406647</v>
      </c>
      <c r="G471" s="390">
        <f t="shared" si="111"/>
        <v>1.7426656980077366</v>
      </c>
      <c r="H471" s="390">
        <f t="shared" si="112"/>
        <v>1.7833935476527911</v>
      </c>
      <c r="I471" s="387"/>
      <c r="J471" s="388">
        <f t="shared" si="113"/>
        <v>1.6942238702701515</v>
      </c>
      <c r="K471" s="388">
        <f t="shared" si="114"/>
        <v>1.8725632250354307</v>
      </c>
      <c r="L471" s="1316">
        <v>1.7971815322311337</v>
      </c>
      <c r="M471" s="61" t="b">
        <f t="shared" si="110"/>
        <v>1</v>
      </c>
      <c r="N471" s="857">
        <f t="shared" si="116"/>
        <v>1.7971815322311337</v>
      </c>
      <c r="O471" s="15"/>
      <c r="P471" s="445">
        <f t="shared" si="122"/>
        <v>-8.3349431449465591E-2</v>
      </c>
      <c r="Q471" s="445">
        <f t="shared" si="109"/>
        <v>8.6244451898344676E-2</v>
      </c>
      <c r="R471" s="445">
        <f t="shared" si="115"/>
        <v>0</v>
      </c>
      <c r="S471" s="445">
        <f t="shared" si="115"/>
        <v>3.249044287200339E-3</v>
      </c>
      <c r="T471" s="445">
        <f t="shared" si="115"/>
        <v>7.5247248944901549E-2</v>
      </c>
      <c r="U471" s="445">
        <f t="shared" si="115"/>
        <v>-9.8476522712402786E-3</v>
      </c>
      <c r="V471" s="445">
        <f t="shared" si="115"/>
        <v>-3.7047979713720461E-4</v>
      </c>
      <c r="W471" s="445">
        <f t="shared" si="115"/>
        <v>-3.0632184066970221E-2</v>
      </c>
      <c r="X471" s="445">
        <f t="shared" si="115"/>
        <v>2.4169845550706969E-3</v>
      </c>
      <c r="Y471" s="43"/>
      <c r="Z471" s="388">
        <f t="shared" si="118"/>
        <v>1.8401395143318378</v>
      </c>
      <c r="AA471" s="43"/>
      <c r="AB471" s="462">
        <f>IF('TAR_Tab 2_Volumina'!C474="storage",1,0)</f>
        <v>0</v>
      </c>
      <c r="AC471" s="389">
        <f t="shared" si="117"/>
        <v>1.8401395143318378</v>
      </c>
      <c r="AD471" s="389">
        <f t="shared" si="119"/>
        <v>1.9639645760170867</v>
      </c>
      <c r="AE471" s="43"/>
      <c r="AF471" s="1027">
        <f t="shared" si="120"/>
        <v>1.9639645760170867</v>
      </c>
      <c r="AG471" s="392">
        <f t="shared" si="121"/>
        <v>1.964</v>
      </c>
      <c r="AH471" s="392">
        <f>AG471+'TAR_Tab 14_Overige tarieven'!$AA$14+'TAR_Tab 14_Overige tarieven'!$AA$15</f>
        <v>2.1440000000000001</v>
      </c>
      <c r="AI471" s="43"/>
    </row>
    <row r="472" spans="1:35">
      <c r="A472" s="96">
        <v>301306</v>
      </c>
      <c r="B472" s="1286" t="s">
        <v>239</v>
      </c>
      <c r="C472" s="1022"/>
      <c r="D472" s="1358"/>
      <c r="E472" s="1022"/>
      <c r="F472" s="1032">
        <v>1.2453120226023722</v>
      </c>
      <c r="G472" s="390">
        <f t="shared" si="111"/>
        <v>1.1850389207084173</v>
      </c>
      <c r="H472" s="390">
        <f t="shared" si="112"/>
        <v>1.2127344718639412</v>
      </c>
      <c r="I472" s="387"/>
      <c r="J472" s="388">
        <f t="shared" si="113"/>
        <v>1.1520977482707442</v>
      </c>
      <c r="K472" s="388">
        <f t="shared" si="114"/>
        <v>1.2733711954571383</v>
      </c>
      <c r="L472" s="1316">
        <v>1.2221105090362703</v>
      </c>
      <c r="M472" s="61" t="b">
        <f t="shared" si="110"/>
        <v>1</v>
      </c>
      <c r="N472" s="857">
        <f t="shared" si="116"/>
        <v>1.2221105090362703</v>
      </c>
      <c r="O472" s="15"/>
      <c r="P472" s="445">
        <f t="shared" si="122"/>
        <v>-5.6678868700665963E-2</v>
      </c>
      <c r="Q472" s="445">
        <f t="shared" si="109"/>
        <v>5.8647526207433069E-2</v>
      </c>
      <c r="R472" s="445">
        <f t="shared" si="115"/>
        <v>0</v>
      </c>
      <c r="S472" s="445">
        <f t="shared" si="115"/>
        <v>2.2093990487328944E-3</v>
      </c>
      <c r="T472" s="445">
        <f t="shared" si="115"/>
        <v>5.1169262571637439E-2</v>
      </c>
      <c r="U472" s="445">
        <f t="shared" si="115"/>
        <v>-6.6965518586632354E-3</v>
      </c>
      <c r="V472" s="445">
        <f t="shared" si="115"/>
        <v>-2.5193184180170695E-4</v>
      </c>
      <c r="W472" s="445">
        <f t="shared" si="115"/>
        <v>-2.0830346512910363E-2</v>
      </c>
      <c r="X472" s="445">
        <f t="shared" si="115"/>
        <v>1.6435858993405037E-3</v>
      </c>
      <c r="Y472" s="43"/>
      <c r="Z472" s="388">
        <f t="shared" si="118"/>
        <v>1.2513225838493729</v>
      </c>
      <c r="AA472" s="43"/>
      <c r="AB472" s="462">
        <f>IF('TAR_Tab 2_Volumina'!C475="storage",1,0)</f>
        <v>0</v>
      </c>
      <c r="AC472" s="389">
        <f t="shared" si="117"/>
        <v>1.2513225838493729</v>
      </c>
      <c r="AD472" s="389">
        <f t="shared" si="119"/>
        <v>1.3355254907086145</v>
      </c>
      <c r="AE472" s="43"/>
      <c r="AF472" s="1027">
        <f t="shared" si="120"/>
        <v>1.3355254907086145</v>
      </c>
      <c r="AG472" s="392">
        <f t="shared" si="121"/>
        <v>1.3360000000000001</v>
      </c>
      <c r="AH472" s="392">
        <f>AG472+'TAR_Tab 14_Overige tarieven'!$AA$14+'TAR_Tab 14_Overige tarieven'!$AA$15</f>
        <v>1.516</v>
      </c>
      <c r="AI472" s="43"/>
    </row>
    <row r="473" spans="1:35">
      <c r="A473" s="96">
        <v>301309</v>
      </c>
      <c r="B473" s="1286" t="s">
        <v>48</v>
      </c>
      <c r="C473" s="1022"/>
      <c r="D473" s="1358"/>
      <c r="E473" s="1022"/>
      <c r="F473" s="1032">
        <v>1.3417124601326031</v>
      </c>
      <c r="G473" s="390">
        <f t="shared" si="111"/>
        <v>1.2767735770621851</v>
      </c>
      <c r="H473" s="390">
        <f t="shared" si="112"/>
        <v>1.3066130593775913</v>
      </c>
      <c r="I473" s="387"/>
      <c r="J473" s="388">
        <f t="shared" si="113"/>
        <v>1.2412824064087118</v>
      </c>
      <c r="K473" s="388">
        <f t="shared" si="114"/>
        <v>1.3719437123464708</v>
      </c>
      <c r="L473" s="1316">
        <v>1.3167149018656223</v>
      </c>
      <c r="M473" s="61" t="b">
        <f t="shared" si="110"/>
        <v>1</v>
      </c>
      <c r="N473" s="857">
        <f t="shared" si="116"/>
        <v>1.3167149018656223</v>
      </c>
      <c r="O473" s="15"/>
      <c r="P473" s="445">
        <f t="shared" si="122"/>
        <v>-6.1066417878939121E-2</v>
      </c>
      <c r="Q473" s="445">
        <f t="shared" si="109"/>
        <v>6.3187470481517571E-2</v>
      </c>
      <c r="R473" s="445">
        <f t="shared" si="115"/>
        <v>0</v>
      </c>
      <c r="S473" s="445">
        <f t="shared" si="115"/>
        <v>2.3804301085082915E-3</v>
      </c>
      <c r="T473" s="445">
        <f t="shared" si="115"/>
        <v>5.5130309450231771E-2</v>
      </c>
      <c r="U473" s="445">
        <f t="shared" si="115"/>
        <v>-7.2149364220516045E-3</v>
      </c>
      <c r="V473" s="445">
        <f t="shared" si="115"/>
        <v>-2.7143405436906776E-4</v>
      </c>
      <c r="W473" s="445">
        <f t="shared" si="115"/>
        <v>-2.2442837584468946E-2</v>
      </c>
      <c r="X473" s="445">
        <f t="shared" si="115"/>
        <v>1.7708169843531098E-3</v>
      </c>
      <c r="Y473" s="43"/>
      <c r="Z473" s="388">
        <f t="shared" si="118"/>
        <v>1.3481883029504043</v>
      </c>
      <c r="AA473" s="43"/>
      <c r="AB473" s="462">
        <f>IF('TAR_Tab 2_Volumina'!C476="storage",1,0)</f>
        <v>1</v>
      </c>
      <c r="AC473" s="389">
        <f t="shared" si="117"/>
        <v>1.0111412272128031</v>
      </c>
      <c r="AD473" s="389">
        <f t="shared" si="119"/>
        <v>1.0111412272128031</v>
      </c>
      <c r="AE473" s="43"/>
      <c r="AF473" s="1027">
        <f t="shared" si="120"/>
        <v>1.0111412272128031</v>
      </c>
      <c r="AG473" s="392">
        <f t="shared" si="121"/>
        <v>1.0109999999999999</v>
      </c>
      <c r="AH473" s="392">
        <f>AG473+'TAR_Tab 14_Overige tarieven'!$AA$14+'TAR_Tab 14_Overige tarieven'!$AA$15</f>
        <v>1.1909999999999998</v>
      </c>
      <c r="AI473" s="43"/>
    </row>
    <row r="474" spans="1:35">
      <c r="A474" s="96">
        <v>301312</v>
      </c>
      <c r="B474" s="1286" t="s">
        <v>367</v>
      </c>
      <c r="C474" s="1022"/>
      <c r="D474" s="1358"/>
      <c r="E474" s="1022"/>
      <c r="F474" s="1032">
        <v>2.3351956269202563</v>
      </c>
      <c r="G474" s="390">
        <f t="shared" si="111"/>
        <v>2.2221721585773158</v>
      </c>
      <c r="H474" s="390">
        <f t="shared" si="112"/>
        <v>2.2741065563585021</v>
      </c>
      <c r="I474" s="387"/>
      <c r="J474" s="388">
        <f t="shared" si="113"/>
        <v>2.1604012285405769</v>
      </c>
      <c r="K474" s="388">
        <f t="shared" si="114"/>
        <v>2.3878118841764273</v>
      </c>
      <c r="L474" s="1316">
        <v>2.29168839978832</v>
      </c>
      <c r="M474" s="61" t="b">
        <f t="shared" si="110"/>
        <v>1</v>
      </c>
      <c r="N474" s="857">
        <f t="shared" si="116"/>
        <v>2.29168839978832</v>
      </c>
      <c r="O474" s="15"/>
      <c r="P474" s="445">
        <f t="shared" si="122"/>
        <v>-0.10628360115884294</v>
      </c>
      <c r="Q474" s="445">
        <f t="shared" si="109"/>
        <v>0.10997520640898688</v>
      </c>
      <c r="R474" s="445">
        <f t="shared" si="115"/>
        <v>0</v>
      </c>
      <c r="S474" s="445">
        <f t="shared" si="115"/>
        <v>4.1430411841211438E-3</v>
      </c>
      <c r="T474" s="445">
        <f t="shared" si="115"/>
        <v>9.595204737549963E-2</v>
      </c>
      <c r="U474" s="445">
        <f t="shared" si="115"/>
        <v>-1.2557301569382047E-2</v>
      </c>
      <c r="V474" s="445">
        <f t="shared" si="115"/>
        <v>-4.7241986311824042E-4</v>
      </c>
      <c r="W474" s="445">
        <f t="shared" si="115"/>
        <v>-3.9060840336649964E-2</v>
      </c>
      <c r="X474" s="445">
        <f t="shared" si="115"/>
        <v>3.0820344901088641E-3</v>
      </c>
      <c r="Y474" s="43"/>
      <c r="Z474" s="388">
        <f t="shared" si="118"/>
        <v>2.3464665663190432</v>
      </c>
      <c r="AA474" s="43"/>
      <c r="AB474" s="462">
        <f>IF('TAR_Tab 2_Volumina'!C477="storage",1,0)</f>
        <v>0</v>
      </c>
      <c r="AC474" s="389">
        <f t="shared" si="117"/>
        <v>2.3464665663190432</v>
      </c>
      <c r="AD474" s="389">
        <f t="shared" si="119"/>
        <v>2.50436294594346</v>
      </c>
      <c r="AE474" s="43"/>
      <c r="AF474" s="1027">
        <f t="shared" si="120"/>
        <v>2.50436294594346</v>
      </c>
      <c r="AG474" s="392">
        <f t="shared" si="121"/>
        <v>2.504</v>
      </c>
      <c r="AH474" s="392">
        <f>AG474+'TAR_Tab 14_Overige tarieven'!$AA$14+'TAR_Tab 14_Overige tarieven'!$AA$15</f>
        <v>2.6840000000000002</v>
      </c>
      <c r="AI474" s="43"/>
    </row>
    <row r="475" spans="1:35">
      <c r="A475" s="96">
        <v>301313</v>
      </c>
      <c r="B475" s="1286" t="s">
        <v>240</v>
      </c>
      <c r="C475" s="1022"/>
      <c r="D475" s="1358"/>
      <c r="E475" s="1022"/>
      <c r="F475" s="1032">
        <v>1.263407284952335</v>
      </c>
      <c r="G475" s="390">
        <f t="shared" si="111"/>
        <v>1.2022583723606419</v>
      </c>
      <c r="H475" s="390">
        <f t="shared" si="112"/>
        <v>1.2303563594157556</v>
      </c>
      <c r="I475" s="387"/>
      <c r="J475" s="388">
        <f t="shared" si="113"/>
        <v>1.1688385414449678</v>
      </c>
      <c r="K475" s="388">
        <f t="shared" si="114"/>
        <v>1.2918741773865434</v>
      </c>
      <c r="L475" s="1316">
        <v>1.2398686370237</v>
      </c>
      <c r="M475" s="61" t="b">
        <f t="shared" si="110"/>
        <v>1</v>
      </c>
      <c r="N475" s="857">
        <f t="shared" si="116"/>
        <v>1.2398686370237</v>
      </c>
      <c r="O475" s="15"/>
      <c r="P475" s="445">
        <f t="shared" si="122"/>
        <v>-5.7502452654103094E-2</v>
      </c>
      <c r="Q475" s="445">
        <f t="shared" si="109"/>
        <v>5.9499716143479861E-2</v>
      </c>
      <c r="R475" s="445">
        <f t="shared" si="115"/>
        <v>0</v>
      </c>
      <c r="S475" s="445">
        <f t="shared" si="115"/>
        <v>2.2415031758086395E-3</v>
      </c>
      <c r="T475" s="445">
        <f t="shared" si="115"/>
        <v>5.1912788060577135E-2</v>
      </c>
      <c r="U475" s="445">
        <f t="shared" si="115"/>
        <v>-6.7938574820919856E-3</v>
      </c>
      <c r="V475" s="445">
        <f t="shared" si="115"/>
        <v>-2.5559258922000023E-4</v>
      </c>
      <c r="W475" s="445">
        <f t="shared" si="115"/>
        <v>-2.1133026145123392E-2</v>
      </c>
      <c r="X475" s="445">
        <f t="shared" si="115"/>
        <v>1.6674683621317285E-3</v>
      </c>
      <c r="Y475" s="43"/>
      <c r="Z475" s="388">
        <f t="shared" si="118"/>
        <v>1.269505183895159</v>
      </c>
      <c r="AA475" s="43"/>
      <c r="AB475" s="462">
        <f>IF('TAR_Tab 2_Volumina'!C478="storage",1,0)</f>
        <v>0</v>
      </c>
      <c r="AC475" s="389">
        <f t="shared" si="117"/>
        <v>1.269505183895159</v>
      </c>
      <c r="AD475" s="389">
        <f t="shared" si="119"/>
        <v>1.3549316184025666</v>
      </c>
      <c r="AE475" s="43"/>
      <c r="AF475" s="1027">
        <f t="shared" si="120"/>
        <v>1.3549316184025666</v>
      </c>
      <c r="AG475" s="392">
        <f t="shared" si="121"/>
        <v>1.355</v>
      </c>
      <c r="AH475" s="392">
        <f>AG475+'TAR_Tab 14_Overige tarieven'!$AA$14+'TAR_Tab 14_Overige tarieven'!$AA$15</f>
        <v>1.5349999999999999</v>
      </c>
      <c r="AI475" s="43"/>
    </row>
    <row r="476" spans="1:35">
      <c r="A476" s="96">
        <v>301319</v>
      </c>
      <c r="B476" s="1286" t="s">
        <v>1206</v>
      </c>
      <c r="C476" s="1022"/>
      <c r="D476" s="1358"/>
      <c r="E476" s="1022"/>
      <c r="F476" s="1032">
        <v>0.78464781911938108</v>
      </c>
      <c r="G476" s="390">
        <f t="shared" si="111"/>
        <v>0.74667086467400301</v>
      </c>
      <c r="H476" s="390">
        <f t="shared" si="112"/>
        <v>0.76412131357280866</v>
      </c>
      <c r="I476" s="387"/>
      <c r="J476" s="388">
        <f t="shared" si="113"/>
        <v>0.72591524789416817</v>
      </c>
      <c r="K476" s="388">
        <f t="shared" si="114"/>
        <v>0.80232737925144915</v>
      </c>
      <c r="L476" s="1316">
        <v>0.77002897927082092</v>
      </c>
      <c r="M476" s="61" t="b">
        <f t="shared" si="110"/>
        <v>1</v>
      </c>
      <c r="N476" s="857">
        <f t="shared" si="116"/>
        <v>0.77002897927082092</v>
      </c>
      <c r="O476" s="15"/>
      <c r="P476" s="445">
        <f t="shared" si="122"/>
        <v>-3.5712295319525314E-2</v>
      </c>
      <c r="Q476" s="445">
        <f t="shared" si="109"/>
        <v>3.6952709602244421E-2</v>
      </c>
      <c r="R476" s="445">
        <f t="shared" si="115"/>
        <v>0</v>
      </c>
      <c r="S476" s="445">
        <f t="shared" si="115"/>
        <v>1.3921010266406452E-3</v>
      </c>
      <c r="T476" s="445">
        <f t="shared" si="115"/>
        <v>3.2240795522779697E-2</v>
      </c>
      <c r="U476" s="445">
        <f t="shared" si="115"/>
        <v>-4.2193721060682999E-3</v>
      </c>
      <c r="V476" s="445">
        <f t="shared" si="115"/>
        <v>-1.5873754259863654E-4</v>
      </c>
      <c r="W476" s="445">
        <f t="shared" si="115"/>
        <v>-1.3124811827240275E-2</v>
      </c>
      <c r="X476" s="445">
        <f t="shared" si="115"/>
        <v>1.0355927414543828E-3</v>
      </c>
      <c r="Y476" s="43"/>
      <c r="Z476" s="388">
        <f t="shared" si="118"/>
        <v>0.78843496136850755</v>
      </c>
      <c r="AA476" s="43"/>
      <c r="AB476" s="462">
        <f>IF('TAR_Tab 2_Volumina'!C479="storage",1,0)</f>
        <v>0</v>
      </c>
      <c r="AC476" s="389">
        <f t="shared" si="117"/>
        <v>0.78843496136850755</v>
      </c>
      <c r="AD476" s="389">
        <f t="shared" si="119"/>
        <v>0.84148963845461511</v>
      </c>
      <c r="AE476" s="43"/>
      <c r="AF476" s="1027">
        <f t="shared" si="120"/>
        <v>0.84148963845461511</v>
      </c>
      <c r="AG476" s="392">
        <f t="shared" si="121"/>
        <v>0.84099999999999997</v>
      </c>
      <c r="AH476" s="392">
        <f>AG476+'TAR_Tab 14_Overige tarieven'!$AA$14+'TAR_Tab 14_Overige tarieven'!$AA$15</f>
        <v>1.0209999999999999</v>
      </c>
      <c r="AI476" s="43"/>
    </row>
    <row r="477" spans="1:35">
      <c r="A477" s="96">
        <v>301320</v>
      </c>
      <c r="B477" s="1286" t="s">
        <v>830</v>
      </c>
      <c r="C477" s="1022"/>
      <c r="D477" s="1358"/>
      <c r="E477" s="1022"/>
      <c r="F477" s="1032">
        <v>0.37529750664207334</v>
      </c>
      <c r="G477" s="390">
        <f t="shared" si="111"/>
        <v>0.357133107320597</v>
      </c>
      <c r="H477" s="390">
        <f t="shared" si="112"/>
        <v>0.36547966714262881</v>
      </c>
      <c r="I477" s="387"/>
      <c r="J477" s="388">
        <f t="shared" si="113"/>
        <v>0.34720568378549738</v>
      </c>
      <c r="K477" s="388">
        <f t="shared" si="114"/>
        <v>0.38375365049976023</v>
      </c>
      <c r="L477" s="1316">
        <v>0.36830530706988585</v>
      </c>
      <c r="M477" s="61" t="b">
        <f t="shared" si="110"/>
        <v>1</v>
      </c>
      <c r="N477" s="857">
        <f t="shared" si="116"/>
        <v>0.36830530706988585</v>
      </c>
      <c r="O477" s="15"/>
      <c r="P477" s="445">
        <f t="shared" si="122"/>
        <v>-1.7081211549055571E-2</v>
      </c>
      <c r="Q477" s="445">
        <f t="shared" si="109"/>
        <v>1.7674502419385344E-2</v>
      </c>
      <c r="R477" s="445">
        <f t="shared" si="115"/>
        <v>0</v>
      </c>
      <c r="S477" s="445">
        <f t="shared" si="115"/>
        <v>6.6584272786032641E-4</v>
      </c>
      <c r="T477" s="445">
        <f t="shared" si="115"/>
        <v>1.5420791184299707E-2</v>
      </c>
      <c r="U477" s="445">
        <f t="shared" si="115"/>
        <v>-2.0181281237482422E-3</v>
      </c>
      <c r="V477" s="445">
        <f t="shared" si="115"/>
        <v>-7.5924258624230349E-5</v>
      </c>
      <c r="W477" s="445">
        <f t="shared" si="115"/>
        <v>-6.2776051036984313E-3</v>
      </c>
      <c r="X477" s="445">
        <f t="shared" si="115"/>
        <v>4.9532460843471331E-4</v>
      </c>
      <c r="Y477" s="43"/>
      <c r="Z477" s="388">
        <f t="shared" si="118"/>
        <v>0.37710889897473948</v>
      </c>
      <c r="AA477" s="43"/>
      <c r="AB477" s="462">
        <f>IF('TAR_Tab 2_Volumina'!C480="storage",1,0)</f>
        <v>1</v>
      </c>
      <c r="AC477" s="389">
        <f t="shared" si="117"/>
        <v>0.2828316742310546</v>
      </c>
      <c r="AD477" s="389">
        <f t="shared" si="119"/>
        <v>0.2828316742310546</v>
      </c>
      <c r="AE477" s="43"/>
      <c r="AF477" s="1027">
        <f t="shared" si="120"/>
        <v>0.2828316742310546</v>
      </c>
      <c r="AG477" s="392">
        <f t="shared" si="121"/>
        <v>0.28299999999999997</v>
      </c>
      <c r="AH477" s="392">
        <f>AG477+'TAR_Tab 14_Overige tarieven'!$AA$14+'TAR_Tab 14_Overige tarieven'!$AA$15</f>
        <v>0.46299999999999997</v>
      </c>
      <c r="AI477" s="43"/>
    </row>
    <row r="478" spans="1:35">
      <c r="A478" s="96">
        <v>301321</v>
      </c>
      <c r="B478" s="1286" t="s">
        <v>241</v>
      </c>
      <c r="C478" s="1022"/>
      <c r="D478" s="1358"/>
      <c r="E478" s="1022"/>
      <c r="F478" s="1032">
        <v>1.159886611128742</v>
      </c>
      <c r="G478" s="390">
        <f t="shared" si="111"/>
        <v>1.103748099150111</v>
      </c>
      <c r="H478" s="390">
        <f t="shared" si="112"/>
        <v>1.1295438020663915</v>
      </c>
      <c r="I478" s="387"/>
      <c r="J478" s="388">
        <f t="shared" si="113"/>
        <v>1.0730666119630718</v>
      </c>
      <c r="K478" s="388">
        <f t="shared" si="114"/>
        <v>1.1860209921697111</v>
      </c>
      <c r="L478" s="1316">
        <v>1.1382766656252798</v>
      </c>
      <c r="M478" s="61" t="b">
        <f t="shared" si="110"/>
        <v>1</v>
      </c>
      <c r="N478" s="857">
        <f t="shared" si="116"/>
        <v>1.1382766656252798</v>
      </c>
      <c r="O478" s="15"/>
      <c r="P478" s="445">
        <f t="shared" si="122"/>
        <v>-5.2790834543173341E-2</v>
      </c>
      <c r="Q478" s="445">
        <f t="shared" si="109"/>
        <v>5.4624446876912411E-2</v>
      </c>
      <c r="R478" s="445">
        <f t="shared" si="115"/>
        <v>0</v>
      </c>
      <c r="S478" s="445">
        <f t="shared" si="115"/>
        <v>2.0578395845810581E-3</v>
      </c>
      <c r="T478" s="445">
        <f t="shared" si="115"/>
        <v>4.7659174151508166E-2</v>
      </c>
      <c r="U478" s="445">
        <f t="shared" si="115"/>
        <v>-6.237184497232511E-3</v>
      </c>
      <c r="V478" s="445">
        <f t="shared" si="115"/>
        <v>-2.3464992300657129E-4</v>
      </c>
      <c r="W478" s="445">
        <f t="shared" si="115"/>
        <v>-1.9401434810696887E-2</v>
      </c>
      <c r="X478" s="445">
        <f t="shared" si="115"/>
        <v>1.5308398572280925E-3</v>
      </c>
      <c r="Y478" s="43"/>
      <c r="Z478" s="388">
        <f t="shared" si="118"/>
        <v>1.1654848623214003</v>
      </c>
      <c r="AA478" s="43"/>
      <c r="AB478" s="462">
        <f>IF('TAR_Tab 2_Volumina'!C481="storage",1,0)</f>
        <v>0</v>
      </c>
      <c r="AC478" s="389">
        <f t="shared" si="117"/>
        <v>1.1654848623214003</v>
      </c>
      <c r="AD478" s="389">
        <f t="shared" si="119"/>
        <v>1.2439116521632418</v>
      </c>
      <c r="AE478" s="43"/>
      <c r="AF478" s="1027">
        <f t="shared" si="120"/>
        <v>1.2439116521632418</v>
      </c>
      <c r="AG478" s="392">
        <f t="shared" si="121"/>
        <v>1.244</v>
      </c>
      <c r="AH478" s="392">
        <f>AG478+'TAR_Tab 14_Overige tarieven'!$AA$14+'TAR_Tab 14_Overige tarieven'!$AA$15</f>
        <v>1.4239999999999999</v>
      </c>
      <c r="AI478" s="43"/>
    </row>
    <row r="479" spans="1:35">
      <c r="A479" s="96">
        <v>301323</v>
      </c>
      <c r="B479" s="1286" t="s">
        <v>368</v>
      </c>
      <c r="C479" s="1022"/>
      <c r="D479" s="1358"/>
      <c r="E479" s="1022"/>
      <c r="F479" s="1032">
        <v>1.3738814492146487</v>
      </c>
      <c r="G479" s="390">
        <f t="shared" si="111"/>
        <v>1.3073855870726596</v>
      </c>
      <c r="H479" s="390">
        <f t="shared" si="112"/>
        <v>1.3379405028429534</v>
      </c>
      <c r="I479" s="387"/>
      <c r="J479" s="388">
        <f t="shared" si="113"/>
        <v>1.2710434777008057</v>
      </c>
      <c r="K479" s="388">
        <f t="shared" si="114"/>
        <v>1.4048375279851011</v>
      </c>
      <c r="L479" s="1316">
        <v>1.3482845477926608</v>
      </c>
      <c r="M479" s="61" t="b">
        <f t="shared" si="110"/>
        <v>1</v>
      </c>
      <c r="N479" s="857">
        <f t="shared" si="116"/>
        <v>1.3482845477926608</v>
      </c>
      <c r="O479" s="15"/>
      <c r="P479" s="445">
        <f t="shared" si="122"/>
        <v>-6.2530550462036011E-2</v>
      </c>
      <c r="Q479" s="445">
        <f t="shared" si="109"/>
        <v>6.4702457565889687E-2</v>
      </c>
      <c r="R479" s="445">
        <f t="shared" si="115"/>
        <v>0</v>
      </c>
      <c r="S479" s="445">
        <f t="shared" si="115"/>
        <v>2.4375034624843049E-3</v>
      </c>
      <c r="T479" s="445">
        <f t="shared" si="115"/>
        <v>5.6452117494422575E-2</v>
      </c>
      <c r="U479" s="445">
        <f t="shared" si="115"/>
        <v>-7.3879222277924948E-3</v>
      </c>
      <c r="V479" s="445">
        <f t="shared" si="115"/>
        <v>-2.7794197569420097E-4</v>
      </c>
      <c r="W479" s="445">
        <f t="shared" si="115"/>
        <v>-2.2980928582858832E-2</v>
      </c>
      <c r="X479" s="445">
        <f t="shared" si="115"/>
        <v>1.8132742126554587E-3</v>
      </c>
      <c r="Y479" s="43"/>
      <c r="Z479" s="388">
        <f t="shared" si="118"/>
        <v>1.3805125572797312</v>
      </c>
      <c r="AA479" s="43"/>
      <c r="AB479" s="462">
        <f>IF('TAR_Tab 2_Volumina'!C482="storage",1,0)</f>
        <v>0</v>
      </c>
      <c r="AC479" s="389">
        <f t="shared" si="117"/>
        <v>1.3805125572797312</v>
      </c>
      <c r="AD479" s="389">
        <f t="shared" si="119"/>
        <v>1.4734088030431909</v>
      </c>
      <c r="AE479" s="43"/>
      <c r="AF479" s="1027">
        <f t="shared" si="120"/>
        <v>1.4734088030431909</v>
      </c>
      <c r="AG479" s="392">
        <f t="shared" si="121"/>
        <v>1.4730000000000001</v>
      </c>
      <c r="AH479" s="392">
        <f>AG479+'TAR_Tab 14_Overige tarieven'!$AA$14+'TAR_Tab 14_Overige tarieven'!$AA$15</f>
        <v>1.653</v>
      </c>
      <c r="AI479" s="43"/>
    </row>
    <row r="480" spans="1:35">
      <c r="A480" s="96">
        <v>301324</v>
      </c>
      <c r="B480" s="1286" t="s">
        <v>369</v>
      </c>
      <c r="C480" s="1022"/>
      <c r="D480" s="1358"/>
      <c r="E480" s="1022"/>
      <c r="F480" s="1032">
        <v>1.4238771351394903</v>
      </c>
      <c r="G480" s="390">
        <f t="shared" si="111"/>
        <v>1.354961481798739</v>
      </c>
      <c r="H480" s="390">
        <f t="shared" si="112"/>
        <v>1.3866282940672239</v>
      </c>
      <c r="I480" s="387"/>
      <c r="J480" s="388">
        <f t="shared" si="113"/>
        <v>1.3172968793638626</v>
      </c>
      <c r="K480" s="388">
        <f t="shared" si="114"/>
        <v>1.4559597087705851</v>
      </c>
      <c r="L480" s="1316">
        <v>1.3973487598666294</v>
      </c>
      <c r="M480" s="61" t="b">
        <f t="shared" si="110"/>
        <v>1</v>
      </c>
      <c r="N480" s="857">
        <f t="shared" si="116"/>
        <v>1.3973487598666294</v>
      </c>
      <c r="O480" s="15"/>
      <c r="P480" s="445">
        <f t="shared" si="122"/>
        <v>-6.4806043564730173E-2</v>
      </c>
      <c r="Q480" s="445">
        <f t="shared" si="109"/>
        <v>6.7056986589393672E-2</v>
      </c>
      <c r="R480" s="445">
        <f t="shared" si="115"/>
        <v>0</v>
      </c>
      <c r="S480" s="445">
        <f t="shared" si="115"/>
        <v>2.5262044618469068E-3</v>
      </c>
      <c r="T480" s="445">
        <f t="shared" si="115"/>
        <v>5.8506415802079867E-2</v>
      </c>
      <c r="U480" s="445">
        <f t="shared" si="115"/>
        <v>-7.6567694704341429E-3</v>
      </c>
      <c r="V480" s="445">
        <f t="shared" si="115"/>
        <v>-2.8805631250985601E-4</v>
      </c>
      <c r="W480" s="445">
        <f t="shared" si="115"/>
        <v>-2.3817206915568396E-2</v>
      </c>
      <c r="X480" s="445">
        <f t="shared" si="115"/>
        <v>1.879259446012644E-3</v>
      </c>
      <c r="Y480" s="43"/>
      <c r="Z480" s="388">
        <f t="shared" si="118"/>
        <v>1.4307495499027199</v>
      </c>
      <c r="AA480" s="43"/>
      <c r="AB480" s="462">
        <f>IF('TAR_Tab 2_Volumina'!C483="storage",1,0)</f>
        <v>0</v>
      </c>
      <c r="AC480" s="389">
        <f t="shared" si="117"/>
        <v>1.4307495499027199</v>
      </c>
      <c r="AD480" s="389">
        <f t="shared" si="119"/>
        <v>1.5270262995149226</v>
      </c>
      <c r="AE480" s="43"/>
      <c r="AF480" s="1027">
        <f t="shared" si="120"/>
        <v>1.5270262995149226</v>
      </c>
      <c r="AG480" s="392">
        <f t="shared" si="121"/>
        <v>1.5269999999999999</v>
      </c>
      <c r="AH480" s="392">
        <f>AG480+'TAR_Tab 14_Overige tarieven'!$AA$14+'TAR_Tab 14_Overige tarieven'!$AA$15</f>
        <v>1.7069999999999999</v>
      </c>
      <c r="AI480" s="43"/>
    </row>
    <row r="481" spans="1:35">
      <c r="A481" s="96">
        <v>301325</v>
      </c>
      <c r="B481" s="1286" t="s">
        <v>370</v>
      </c>
      <c r="C481" s="1022"/>
      <c r="D481" s="1358"/>
      <c r="E481" s="1022"/>
      <c r="F481" s="1032">
        <v>1.9198343395139192</v>
      </c>
      <c r="G481" s="390">
        <f t="shared" si="111"/>
        <v>1.8269143574814455</v>
      </c>
      <c r="H481" s="390">
        <f t="shared" si="112"/>
        <v>1.8696111830119868</v>
      </c>
      <c r="I481" s="387"/>
      <c r="J481" s="388">
        <f t="shared" si="113"/>
        <v>1.7761306238613874</v>
      </c>
      <c r="K481" s="388">
        <f t="shared" si="114"/>
        <v>1.9630917421625862</v>
      </c>
      <c r="L481" s="1316">
        <v>1.8840657436403989</v>
      </c>
      <c r="M481" s="61" t="b">
        <f t="shared" si="110"/>
        <v>1</v>
      </c>
      <c r="N481" s="857">
        <f t="shared" si="116"/>
        <v>1.8840657436403989</v>
      </c>
      <c r="O481" s="15"/>
      <c r="P481" s="445">
        <f t="shared" si="122"/>
        <v>-8.7378935143456404E-2</v>
      </c>
      <c r="Q481" s="445">
        <f t="shared" si="109"/>
        <v>9.0413914502553247E-2</v>
      </c>
      <c r="R481" s="445">
        <f t="shared" si="115"/>
        <v>0</v>
      </c>
      <c r="S481" s="445">
        <f t="shared" si="115"/>
        <v>3.4061183755239189E-3</v>
      </c>
      <c r="T481" s="445">
        <f t="shared" si="115"/>
        <v>7.8885055014040251E-2</v>
      </c>
      <c r="U481" s="445">
        <f t="shared" si="115"/>
        <v>-1.0323734117439292E-2</v>
      </c>
      <c r="V481" s="445">
        <f t="shared" si="115"/>
        <v>-3.8839053372115409E-4</v>
      </c>
      <c r="W481" s="445">
        <f t="shared" si="115"/>
        <v>-3.2113087976047269E-2</v>
      </c>
      <c r="X481" s="445">
        <f t="shared" si="115"/>
        <v>2.5338329609159243E-3</v>
      </c>
      <c r="Y481" s="43"/>
      <c r="Z481" s="388">
        <f t="shared" si="118"/>
        <v>1.9291005167227682</v>
      </c>
      <c r="AA481" s="43"/>
      <c r="AB481" s="462">
        <f>IF('TAR_Tab 2_Volumina'!C484="storage",1,0)</f>
        <v>0</v>
      </c>
      <c r="AC481" s="389">
        <f t="shared" si="117"/>
        <v>1.9291005167227682</v>
      </c>
      <c r="AD481" s="389">
        <f t="shared" si="119"/>
        <v>2.0589118645145024</v>
      </c>
      <c r="AE481" s="43"/>
      <c r="AF481" s="1027">
        <f t="shared" si="120"/>
        <v>2.0589118645145024</v>
      </c>
      <c r="AG481" s="392">
        <f t="shared" si="121"/>
        <v>2.0590000000000002</v>
      </c>
      <c r="AH481" s="392">
        <f>AG481+'TAR_Tab 14_Overige tarieven'!$AA$14+'TAR_Tab 14_Overige tarieven'!$AA$15</f>
        <v>2.2390000000000003</v>
      </c>
      <c r="AI481" s="43"/>
    </row>
    <row r="482" spans="1:35">
      <c r="A482" s="96">
        <v>301327</v>
      </c>
      <c r="B482" s="1286" t="s">
        <v>17</v>
      </c>
      <c r="C482" s="1022"/>
      <c r="D482" s="1358"/>
      <c r="E482" s="1022"/>
      <c r="F482" s="1032">
        <v>1.546866522514601</v>
      </c>
      <c r="G482" s="390">
        <f t="shared" si="111"/>
        <v>1.4719981828248943</v>
      </c>
      <c r="H482" s="390">
        <f t="shared" si="112"/>
        <v>1.5064002604789295</v>
      </c>
      <c r="I482" s="387"/>
      <c r="J482" s="388">
        <f t="shared" si="113"/>
        <v>1.4310802474549829</v>
      </c>
      <c r="K482" s="388">
        <f t="shared" si="114"/>
        <v>1.5817202735028761</v>
      </c>
      <c r="L482" s="1316">
        <v>1.5180467215685927</v>
      </c>
      <c r="M482" s="61" t="b">
        <f t="shared" si="110"/>
        <v>1</v>
      </c>
      <c r="N482" s="857">
        <f t="shared" si="116"/>
        <v>1.5180467215685927</v>
      </c>
      <c r="O482" s="15"/>
      <c r="P482" s="445">
        <f t="shared" si="122"/>
        <v>-7.0403756597357856E-2</v>
      </c>
      <c r="Q482" s="445">
        <f t="shared" si="109"/>
        <v>7.2849127987213491E-2</v>
      </c>
      <c r="R482" s="445">
        <f t="shared" si="115"/>
        <v>0</v>
      </c>
      <c r="S482" s="445">
        <f t="shared" si="115"/>
        <v>2.744408920278908E-3</v>
      </c>
      <c r="T482" s="445">
        <f t="shared" si="115"/>
        <v>6.3559989638916833E-2</v>
      </c>
      <c r="U482" s="445">
        <f t="shared" si="115"/>
        <v>-8.3181336873325989E-3</v>
      </c>
      <c r="V482" s="445">
        <f t="shared" si="115"/>
        <v>-3.1293758107636747E-4</v>
      </c>
      <c r="W482" s="445">
        <f t="shared" si="115"/>
        <v>-2.5874451614033924E-2</v>
      </c>
      <c r="X482" s="445">
        <f t="shared" si="115"/>
        <v>2.0415831200713205E-3</v>
      </c>
      <c r="Y482" s="43"/>
      <c r="Z482" s="388">
        <f t="shared" si="118"/>
        <v>1.5543325517552724</v>
      </c>
      <c r="AA482" s="43"/>
      <c r="AB482" s="462">
        <f>IF('TAR_Tab 2_Volumina'!C485="storage",1,0)</f>
        <v>0</v>
      </c>
      <c r="AC482" s="389">
        <f t="shared" si="117"/>
        <v>1.5543325517552724</v>
      </c>
      <c r="AD482" s="389">
        <f t="shared" si="119"/>
        <v>1.658925340835383</v>
      </c>
      <c r="AE482" s="43"/>
      <c r="AF482" s="1027">
        <f t="shared" si="120"/>
        <v>1.658925340835383</v>
      </c>
      <c r="AG482" s="392">
        <f t="shared" si="121"/>
        <v>1.659</v>
      </c>
      <c r="AH482" s="392">
        <f>AG482+'TAR_Tab 14_Overige tarieven'!$AA$14+'TAR_Tab 14_Overige tarieven'!$AA$15</f>
        <v>1.839</v>
      </c>
      <c r="AI482" s="43"/>
    </row>
    <row r="483" spans="1:35">
      <c r="A483" s="96">
        <v>301328</v>
      </c>
      <c r="B483" s="1286" t="s">
        <v>18</v>
      </c>
      <c r="C483" s="1022"/>
      <c r="D483" s="1358"/>
      <c r="E483" s="1022"/>
      <c r="F483" s="1032">
        <v>0.75293503002811524</v>
      </c>
      <c r="G483" s="390">
        <f t="shared" si="111"/>
        <v>0.71649297457475447</v>
      </c>
      <c r="H483" s="390">
        <f t="shared" si="112"/>
        <v>0.73323813583751363</v>
      </c>
      <c r="I483" s="387"/>
      <c r="J483" s="388">
        <f t="shared" si="113"/>
        <v>0.69657622904563787</v>
      </c>
      <c r="K483" s="388">
        <f t="shared" si="114"/>
        <v>0.76990004262938938</v>
      </c>
      <c r="L483" s="1316">
        <v>0.73890703383396894</v>
      </c>
      <c r="M483" s="61" t="b">
        <f t="shared" si="110"/>
        <v>1</v>
      </c>
      <c r="N483" s="857">
        <f t="shared" si="116"/>
        <v>0.73890703383396894</v>
      </c>
      <c r="O483" s="15"/>
      <c r="P483" s="445">
        <f t="shared" si="122"/>
        <v>-3.4268926126574312E-2</v>
      </c>
      <c r="Q483" s="445">
        <f t="shared" si="109"/>
        <v>3.5459207093970102E-2</v>
      </c>
      <c r="R483" s="445">
        <f t="shared" si="115"/>
        <v>0</v>
      </c>
      <c r="S483" s="445">
        <f t="shared" si="115"/>
        <v>1.3358370504007869E-3</v>
      </c>
      <c r="T483" s="445">
        <f t="shared" si="115"/>
        <v>3.0937732513318914E-2</v>
      </c>
      <c r="U483" s="445">
        <f t="shared" si="115"/>
        <v>-4.0488394741832225E-3</v>
      </c>
      <c r="V483" s="445">
        <f t="shared" si="115"/>
        <v>-1.5232191244376512E-4</v>
      </c>
      <c r="W483" s="445">
        <f t="shared" si="115"/>
        <v>-1.2594351690606038E-2</v>
      </c>
      <c r="X483" s="445">
        <f t="shared" si="115"/>
        <v>9.9373761435921407E-4</v>
      </c>
      <c r="Y483" s="43"/>
      <c r="Z483" s="388">
        <f t="shared" si="118"/>
        <v>0.75656910890221063</v>
      </c>
      <c r="AA483" s="43"/>
      <c r="AB483" s="462">
        <f>IF('TAR_Tab 2_Volumina'!C486="storage",1,0)</f>
        <v>0</v>
      </c>
      <c r="AC483" s="389">
        <f t="shared" si="117"/>
        <v>0.75656910890221063</v>
      </c>
      <c r="AD483" s="389">
        <f t="shared" si="119"/>
        <v>0.80747949686428133</v>
      </c>
      <c r="AE483" s="43"/>
      <c r="AF483" s="1027">
        <f t="shared" si="120"/>
        <v>0.80747949686428133</v>
      </c>
      <c r="AG483" s="392">
        <f t="shared" si="121"/>
        <v>0.80700000000000005</v>
      </c>
      <c r="AH483" s="392">
        <f>AG483+'TAR_Tab 14_Overige tarieven'!$AA$14+'TAR_Tab 14_Overige tarieven'!$AA$15</f>
        <v>0.9870000000000001</v>
      </c>
      <c r="AI483" s="43"/>
    </row>
    <row r="484" spans="1:35">
      <c r="A484" s="96">
        <v>301331</v>
      </c>
      <c r="B484" s="1286" t="s">
        <v>242</v>
      </c>
      <c r="C484" s="1022"/>
      <c r="D484" s="1358"/>
      <c r="E484" s="1022"/>
      <c r="F484" s="1032">
        <v>0.78464781911938108</v>
      </c>
      <c r="G484" s="390">
        <f t="shared" si="111"/>
        <v>0.74667086467400301</v>
      </c>
      <c r="H484" s="390">
        <f t="shared" si="112"/>
        <v>0.76412131357280866</v>
      </c>
      <c r="I484" s="387"/>
      <c r="J484" s="388">
        <f t="shared" si="113"/>
        <v>0.72591524789416817</v>
      </c>
      <c r="K484" s="388">
        <f t="shared" si="114"/>
        <v>0.80232737925144915</v>
      </c>
      <c r="L484" s="1316">
        <v>0.77002897927082092</v>
      </c>
      <c r="M484" s="61" t="b">
        <f t="shared" si="110"/>
        <v>1</v>
      </c>
      <c r="N484" s="857">
        <f t="shared" si="116"/>
        <v>0.77002897927082092</v>
      </c>
      <c r="O484" s="15"/>
      <c r="P484" s="445">
        <f t="shared" si="122"/>
        <v>-3.5712295319525314E-2</v>
      </c>
      <c r="Q484" s="445">
        <f t="shared" si="109"/>
        <v>3.6952709602244421E-2</v>
      </c>
      <c r="R484" s="445">
        <f t="shared" si="115"/>
        <v>0</v>
      </c>
      <c r="S484" s="445">
        <f t="shared" si="115"/>
        <v>1.3921010266406452E-3</v>
      </c>
      <c r="T484" s="445">
        <f t="shared" si="115"/>
        <v>3.2240795522779697E-2</v>
      </c>
      <c r="U484" s="445">
        <f t="shared" si="115"/>
        <v>-4.2193721060682999E-3</v>
      </c>
      <c r="V484" s="445">
        <f t="shared" si="115"/>
        <v>-1.5873754259863654E-4</v>
      </c>
      <c r="W484" s="445">
        <f t="shared" si="115"/>
        <v>-1.3124811827240275E-2</v>
      </c>
      <c r="X484" s="445">
        <f t="shared" si="115"/>
        <v>1.0355927414543828E-3</v>
      </c>
      <c r="Y484" s="43"/>
      <c r="Z484" s="388">
        <f t="shared" si="118"/>
        <v>0.78843496136850755</v>
      </c>
      <c r="AA484" s="43"/>
      <c r="AB484" s="462">
        <f>IF('TAR_Tab 2_Volumina'!C487="storage",1,0)</f>
        <v>0</v>
      </c>
      <c r="AC484" s="389">
        <f t="shared" si="117"/>
        <v>0.78843496136850755</v>
      </c>
      <c r="AD484" s="389">
        <f t="shared" si="119"/>
        <v>0.84148963845461511</v>
      </c>
      <c r="AE484" s="43"/>
      <c r="AF484" s="1027">
        <f t="shared" si="120"/>
        <v>0.84148963845461511</v>
      </c>
      <c r="AG484" s="392">
        <f t="shared" si="121"/>
        <v>0.84099999999999997</v>
      </c>
      <c r="AH484" s="392">
        <f>AG484+'TAR_Tab 14_Overige tarieven'!$AA$14+'TAR_Tab 14_Overige tarieven'!$AA$15</f>
        <v>1.0209999999999999</v>
      </c>
      <c r="AI484" s="43"/>
    </row>
    <row r="485" spans="1:35">
      <c r="A485" s="96">
        <v>301337</v>
      </c>
      <c r="B485" s="1286" t="s">
        <v>655</v>
      </c>
      <c r="C485" s="1022"/>
      <c r="D485" s="1358"/>
      <c r="E485" s="1022"/>
      <c r="F485" s="1032">
        <v>1.4204656648057958</v>
      </c>
      <c r="G485" s="390">
        <f t="shared" si="111"/>
        <v>1.3517151266291954</v>
      </c>
      <c r="H485" s="390">
        <f t="shared" si="112"/>
        <v>1.3833060683130978</v>
      </c>
      <c r="I485" s="387"/>
      <c r="J485" s="388">
        <f t="shared" si="113"/>
        <v>1.3141407648974428</v>
      </c>
      <c r="K485" s="388">
        <f t="shared" si="114"/>
        <v>1.4524713717287527</v>
      </c>
      <c r="L485" s="1316">
        <v>1.3940008489251121</v>
      </c>
      <c r="M485" s="61" t="b">
        <f t="shared" si="110"/>
        <v>1</v>
      </c>
      <c r="N485" s="857">
        <f t="shared" si="116"/>
        <v>1.3940008489251121</v>
      </c>
      <c r="O485" s="15"/>
      <c r="P485" s="445">
        <f t="shared" si="122"/>
        <v>-6.4650774623605189E-2</v>
      </c>
      <c r="Q485" s="445">
        <f t="shared" si="109"/>
        <v>6.689632460896637E-2</v>
      </c>
      <c r="R485" s="445">
        <f t="shared" si="115"/>
        <v>0</v>
      </c>
      <c r="S485" s="445">
        <f t="shared" si="115"/>
        <v>2.5201519230668712E-3</v>
      </c>
      <c r="T485" s="445">
        <f t="shared" si="115"/>
        <v>5.8366240152851509E-2</v>
      </c>
      <c r="U485" s="445">
        <f t="shared" si="115"/>
        <v>-7.6384245997597744E-3</v>
      </c>
      <c r="V485" s="445">
        <f t="shared" si="115"/>
        <v>-2.8736615776243495E-4</v>
      </c>
      <c r="W485" s="445">
        <f t="shared" si="115"/>
        <v>-2.376014321757175E-2</v>
      </c>
      <c r="X485" s="445">
        <f t="shared" si="115"/>
        <v>1.8747569242070956E-3</v>
      </c>
      <c r="Y485" s="43"/>
      <c r="Z485" s="388">
        <f t="shared" si="118"/>
        <v>1.4273216139355047</v>
      </c>
      <c r="AA485" s="43"/>
      <c r="AB485" s="462">
        <f>IF('TAR_Tab 2_Volumina'!C488="storage",1,0)</f>
        <v>0</v>
      </c>
      <c r="AC485" s="389">
        <f t="shared" si="117"/>
        <v>1.4273216139355047</v>
      </c>
      <c r="AD485" s="389">
        <f t="shared" si="119"/>
        <v>1.5233676938733227</v>
      </c>
      <c r="AE485" s="43"/>
      <c r="AF485" s="1027">
        <f t="shared" si="120"/>
        <v>1.5233676938733227</v>
      </c>
      <c r="AG485" s="392">
        <f t="shared" si="121"/>
        <v>1.5229999999999999</v>
      </c>
      <c r="AH485" s="392">
        <f>AG485+'TAR_Tab 14_Overige tarieven'!$AA$14+'TAR_Tab 14_Overige tarieven'!$AA$15</f>
        <v>1.7029999999999998</v>
      </c>
      <c r="AI485" s="43"/>
    </row>
    <row r="486" spans="1:35">
      <c r="A486" s="96">
        <v>301338</v>
      </c>
      <c r="B486" s="1286" t="s">
        <v>243</v>
      </c>
      <c r="C486" s="1022"/>
      <c r="D486" s="1358"/>
      <c r="E486" s="1022"/>
      <c r="F486" s="1032">
        <v>1.2453120226023722</v>
      </c>
      <c r="G486" s="390">
        <f t="shared" si="111"/>
        <v>1.1850389207084173</v>
      </c>
      <c r="H486" s="390">
        <f t="shared" si="112"/>
        <v>1.2127344718639412</v>
      </c>
      <c r="I486" s="387"/>
      <c r="J486" s="388">
        <f t="shared" si="113"/>
        <v>1.1520977482707442</v>
      </c>
      <c r="K486" s="388">
        <f t="shared" si="114"/>
        <v>1.2733711954571383</v>
      </c>
      <c r="L486" s="1316">
        <v>1.2221105090362703</v>
      </c>
      <c r="M486" s="61" t="b">
        <f t="shared" si="110"/>
        <v>1</v>
      </c>
      <c r="N486" s="857">
        <f t="shared" si="116"/>
        <v>1.2221105090362703</v>
      </c>
      <c r="O486" s="15"/>
      <c r="P486" s="445">
        <f t="shared" si="122"/>
        <v>-5.6678868700665963E-2</v>
      </c>
      <c r="Q486" s="445">
        <f t="shared" si="109"/>
        <v>5.8647526207433069E-2</v>
      </c>
      <c r="R486" s="445">
        <f t="shared" si="115"/>
        <v>0</v>
      </c>
      <c r="S486" s="445">
        <f t="shared" si="115"/>
        <v>2.2093990487328944E-3</v>
      </c>
      <c r="T486" s="445">
        <f t="shared" si="115"/>
        <v>5.1169262571637439E-2</v>
      </c>
      <c r="U486" s="445">
        <f t="shared" si="115"/>
        <v>-6.6965518586632354E-3</v>
      </c>
      <c r="V486" s="445">
        <f t="shared" si="115"/>
        <v>-2.5193184180170695E-4</v>
      </c>
      <c r="W486" s="445">
        <f t="shared" si="115"/>
        <v>-2.0830346512910363E-2</v>
      </c>
      <c r="X486" s="445">
        <f t="shared" si="115"/>
        <v>1.6435858993405037E-3</v>
      </c>
      <c r="Y486" s="43"/>
      <c r="Z486" s="388">
        <f t="shared" si="118"/>
        <v>1.2513225838493729</v>
      </c>
      <c r="AA486" s="43"/>
      <c r="AB486" s="462">
        <f>IF('TAR_Tab 2_Volumina'!C489="storage",1,0)</f>
        <v>0</v>
      </c>
      <c r="AC486" s="389">
        <f t="shared" si="117"/>
        <v>1.2513225838493729</v>
      </c>
      <c r="AD486" s="389">
        <f t="shared" si="119"/>
        <v>1.3355254907086145</v>
      </c>
      <c r="AE486" s="43"/>
      <c r="AF486" s="1027">
        <f t="shared" si="120"/>
        <v>1.3355254907086145</v>
      </c>
      <c r="AG486" s="392">
        <f t="shared" si="121"/>
        <v>1.3360000000000001</v>
      </c>
      <c r="AH486" s="392">
        <f>AG486+'TAR_Tab 14_Overige tarieven'!$AA$14+'TAR_Tab 14_Overige tarieven'!$AA$15</f>
        <v>1.516</v>
      </c>
      <c r="AI486" s="43"/>
    </row>
    <row r="487" spans="1:35">
      <c r="A487" s="96">
        <v>301343</v>
      </c>
      <c r="B487" s="1286" t="s">
        <v>244</v>
      </c>
      <c r="C487" s="1022"/>
      <c r="D487" s="1358"/>
      <c r="E487" s="1022"/>
      <c r="F487" s="1032">
        <v>1.2306114044902512</v>
      </c>
      <c r="G487" s="390">
        <f t="shared" si="111"/>
        <v>1.1710498125129229</v>
      </c>
      <c r="H487" s="390">
        <f t="shared" si="112"/>
        <v>1.1984184241436109</v>
      </c>
      <c r="I487" s="387"/>
      <c r="J487" s="388">
        <f t="shared" si="113"/>
        <v>1.1384975029364304</v>
      </c>
      <c r="K487" s="388">
        <f t="shared" si="114"/>
        <v>1.2583393453507914</v>
      </c>
      <c r="L487" s="1316">
        <v>1.2076837793829194</v>
      </c>
      <c r="M487" s="61" t="b">
        <f t="shared" ref="M487:M541" si="123">IF(L487&gt;0,AND(L487&gt;=J487,L487&lt;=K487),"")</f>
        <v>1</v>
      </c>
      <c r="N487" s="857">
        <f t="shared" si="116"/>
        <v>1.2076837793829194</v>
      </c>
      <c r="O487" s="15"/>
      <c r="P487" s="445">
        <f t="shared" si="122"/>
        <v>-5.6009787868976618E-2</v>
      </c>
      <c r="Q487" s="445">
        <f t="shared" si="109"/>
        <v>5.7955205832821724E-2</v>
      </c>
      <c r="R487" s="445">
        <f t="shared" si="115"/>
        <v>0</v>
      </c>
      <c r="S487" s="445">
        <f t="shared" si="115"/>
        <v>2.1833176080311234E-3</v>
      </c>
      <c r="T487" s="445">
        <f t="shared" si="115"/>
        <v>5.0565221355868439E-2</v>
      </c>
      <c r="U487" s="445">
        <f t="shared" si="115"/>
        <v>-6.6175006251125452E-3</v>
      </c>
      <c r="V487" s="445">
        <f t="shared" si="115"/>
        <v>-2.4895784514111845E-4</v>
      </c>
      <c r="W487" s="445">
        <f t="shared" si="115"/>
        <v>-2.0584449128422316E-2</v>
      </c>
      <c r="X487" s="445">
        <f t="shared" si="115"/>
        <v>1.6241837509615134E-3</v>
      </c>
      <c r="Y487" s="43"/>
      <c r="Z487" s="388">
        <f t="shared" si="118"/>
        <v>1.2365510124629495</v>
      </c>
      <c r="AA487" s="43"/>
      <c r="AB487" s="462">
        <f>IF('TAR_Tab 2_Volumina'!C490="storage",1,0)</f>
        <v>0</v>
      </c>
      <c r="AC487" s="389">
        <f t="shared" si="117"/>
        <v>1.2365510124629495</v>
      </c>
      <c r="AD487" s="389">
        <f t="shared" si="119"/>
        <v>1.3197599236366107</v>
      </c>
      <c r="AE487" s="43"/>
      <c r="AF487" s="1027">
        <f t="shared" si="120"/>
        <v>1.3197599236366107</v>
      </c>
      <c r="AG487" s="392">
        <f t="shared" si="121"/>
        <v>1.32</v>
      </c>
      <c r="AH487" s="392">
        <f>AG487+'TAR_Tab 14_Overige tarieven'!$AA$14+'TAR_Tab 14_Overige tarieven'!$AA$15</f>
        <v>1.5</v>
      </c>
      <c r="AI487" s="43"/>
    </row>
    <row r="488" spans="1:35">
      <c r="A488" s="96">
        <v>301344</v>
      </c>
      <c r="B488" s="1286" t="s">
        <v>192</v>
      </c>
      <c r="C488" s="1022"/>
      <c r="D488" s="1358"/>
      <c r="E488" s="1022"/>
      <c r="F488" s="1032">
        <v>1.3212456825171512</v>
      </c>
      <c r="G488" s="390">
        <f t="shared" si="111"/>
        <v>1.2572973914833212</v>
      </c>
      <c r="H488" s="390">
        <f t="shared" si="112"/>
        <v>1.2866816957580844</v>
      </c>
      <c r="I488" s="387"/>
      <c r="J488" s="388">
        <f t="shared" si="113"/>
        <v>1.2223476109701801</v>
      </c>
      <c r="K488" s="388">
        <f t="shared" si="114"/>
        <v>1.3510157805459888</v>
      </c>
      <c r="L488" s="1316">
        <v>1.2966294425140921</v>
      </c>
      <c r="M488" s="61" t="b">
        <f t="shared" si="123"/>
        <v>1</v>
      </c>
      <c r="N488" s="857">
        <f t="shared" si="116"/>
        <v>1.2966294425140921</v>
      </c>
      <c r="O488" s="15"/>
      <c r="P488" s="445">
        <f t="shared" si="122"/>
        <v>-6.0134897279974883E-2</v>
      </c>
      <c r="Q488" s="445">
        <f t="shared" si="109"/>
        <v>6.2223594878618033E-2</v>
      </c>
      <c r="R488" s="445">
        <f t="shared" si="115"/>
        <v>0</v>
      </c>
      <c r="S488" s="445">
        <f t="shared" si="115"/>
        <v>2.3441185029239252E-3</v>
      </c>
      <c r="T488" s="445">
        <f t="shared" si="115"/>
        <v>5.428933955771291E-2</v>
      </c>
      <c r="U488" s="445">
        <f t="shared" si="115"/>
        <v>-7.1048781915085566E-3</v>
      </c>
      <c r="V488" s="445">
        <f t="shared" si="115"/>
        <v>-2.672935394725428E-4</v>
      </c>
      <c r="W488" s="445">
        <f t="shared" si="115"/>
        <v>-2.2100489592965882E-2</v>
      </c>
      <c r="X488" s="445">
        <f t="shared" si="115"/>
        <v>1.7438045517393155E-3</v>
      </c>
      <c r="Y488" s="43"/>
      <c r="Z488" s="388">
        <f t="shared" si="118"/>
        <v>1.3276227414011643</v>
      </c>
      <c r="AA488" s="43"/>
      <c r="AB488" s="462">
        <f>IF('TAR_Tab 2_Volumina'!C491="storage",1,0)</f>
        <v>0</v>
      </c>
      <c r="AC488" s="389">
        <f t="shared" si="117"/>
        <v>1.3276227414011643</v>
      </c>
      <c r="AD488" s="389">
        <f t="shared" si="119"/>
        <v>1.4169599718493842</v>
      </c>
      <c r="AE488" s="43"/>
      <c r="AF488" s="1027">
        <f t="shared" si="120"/>
        <v>1.4169599718493842</v>
      </c>
      <c r="AG488" s="392">
        <f t="shared" si="121"/>
        <v>1.417</v>
      </c>
      <c r="AH488" s="392">
        <f>AG488+'TAR_Tab 14_Overige tarieven'!$AA$14+'TAR_Tab 14_Overige tarieven'!$AA$15</f>
        <v>1.597</v>
      </c>
      <c r="AI488" s="43"/>
    </row>
    <row r="489" spans="1:35">
      <c r="A489" s="96">
        <v>301348</v>
      </c>
      <c r="B489" s="1286" t="s">
        <v>19</v>
      </c>
      <c r="C489" s="1022"/>
      <c r="D489" s="1358"/>
      <c r="E489" s="1022"/>
      <c r="F489" s="1032">
        <v>1.3789557241505188</v>
      </c>
      <c r="G489" s="390">
        <f t="shared" si="111"/>
        <v>1.3122142671016337</v>
      </c>
      <c r="H489" s="390">
        <f t="shared" si="112"/>
        <v>1.3428820339795315</v>
      </c>
      <c r="I489" s="387"/>
      <c r="J489" s="388">
        <f t="shared" si="113"/>
        <v>1.2757379322805549</v>
      </c>
      <c r="K489" s="388">
        <f t="shared" si="114"/>
        <v>1.4100261356785082</v>
      </c>
      <c r="L489" s="1316">
        <v>1.3532642834832445</v>
      </c>
      <c r="M489" s="61" t="b">
        <f t="shared" si="123"/>
        <v>1</v>
      </c>
      <c r="N489" s="857">
        <f t="shared" si="116"/>
        <v>1.3532642834832445</v>
      </c>
      <c r="O489" s="15"/>
      <c r="P489" s="445">
        <f t="shared" si="122"/>
        <v>-6.2761499941059132E-2</v>
      </c>
      <c r="Q489" s="445">
        <f t="shared" si="109"/>
        <v>6.4941428736876416E-2</v>
      </c>
      <c r="R489" s="445">
        <f t="shared" si="115"/>
        <v>0</v>
      </c>
      <c r="S489" s="445">
        <f t="shared" si="115"/>
        <v>2.4465061044028273E-3</v>
      </c>
      <c r="T489" s="445">
        <f t="shared" si="115"/>
        <v>5.6660616972337846E-2</v>
      </c>
      <c r="U489" s="445">
        <f t="shared" si="115"/>
        <v>-7.4152086786067727E-3</v>
      </c>
      <c r="V489" s="445">
        <f t="shared" si="115"/>
        <v>-2.7896852278215929E-4</v>
      </c>
      <c r="W489" s="445">
        <f t="shared" si="115"/>
        <v>-2.3065806029874129E-2</v>
      </c>
      <c r="X489" s="445">
        <f t="shared" si="115"/>
        <v>1.8199713348084627E-3</v>
      </c>
      <c r="Y489" s="43"/>
      <c r="Z489" s="388">
        <f t="shared" si="118"/>
        <v>1.3856113234593479</v>
      </c>
      <c r="AA489" s="43"/>
      <c r="AB489" s="462">
        <f>IF('TAR_Tab 2_Volumina'!C492="storage",1,0)</f>
        <v>1</v>
      </c>
      <c r="AC489" s="389">
        <f t="shared" si="117"/>
        <v>1.0392084925945109</v>
      </c>
      <c r="AD489" s="389">
        <f t="shared" si="119"/>
        <v>1.0392084925945109</v>
      </c>
      <c r="AE489" s="43"/>
      <c r="AF489" s="1027">
        <f t="shared" si="120"/>
        <v>1.0392084925945109</v>
      </c>
      <c r="AG489" s="392">
        <f t="shared" si="121"/>
        <v>1.0389999999999999</v>
      </c>
      <c r="AH489" s="392">
        <f>AG489+'TAR_Tab 14_Overige tarieven'!$AA$14+'TAR_Tab 14_Overige tarieven'!$AA$15</f>
        <v>1.2189999999999999</v>
      </c>
      <c r="AI489" s="43"/>
    </row>
    <row r="490" spans="1:35">
      <c r="A490" s="96">
        <v>301354</v>
      </c>
      <c r="B490" s="1286" t="s">
        <v>22</v>
      </c>
      <c r="C490" s="1022"/>
      <c r="D490" s="1358"/>
      <c r="E490" s="1022"/>
      <c r="F490" s="1032">
        <v>2.191951649539948</v>
      </c>
      <c r="G490" s="390">
        <f t="shared" si="111"/>
        <v>2.0858611897022143</v>
      </c>
      <c r="H490" s="390">
        <f t="shared" si="112"/>
        <v>2.1346098630775878</v>
      </c>
      <c r="I490" s="387"/>
      <c r="J490" s="388">
        <f t="shared" si="113"/>
        <v>2.0278793699237085</v>
      </c>
      <c r="K490" s="388">
        <f t="shared" si="114"/>
        <v>2.2413403562314671</v>
      </c>
      <c r="L490" s="1316">
        <v>2.151113213059777</v>
      </c>
      <c r="M490" s="61" t="b">
        <f t="shared" si="123"/>
        <v>1</v>
      </c>
      <c r="N490" s="857">
        <f t="shared" si="116"/>
        <v>2.151113213059777</v>
      </c>
      <c r="O490" s="15"/>
      <c r="P490" s="445">
        <f t="shared" si="122"/>
        <v>-9.976402498938361E-2</v>
      </c>
      <c r="Q490" s="445">
        <f t="shared" si="109"/>
        <v>0.10322918230820538</v>
      </c>
      <c r="R490" s="445">
        <f t="shared" si="115"/>
        <v>0</v>
      </c>
      <c r="S490" s="445">
        <f t="shared" si="115"/>
        <v>3.8889015776477375E-3</v>
      </c>
      <c r="T490" s="445">
        <f t="shared" si="115"/>
        <v>9.0066222331378107E-2</v>
      </c>
      <c r="U490" s="445">
        <f t="shared" si="115"/>
        <v>-1.1787020141468216E-2</v>
      </c>
      <c r="V490" s="445">
        <f t="shared" si="115"/>
        <v>-4.4344100609812655E-4</v>
      </c>
      <c r="W490" s="445">
        <f t="shared" si="115"/>
        <v>-3.6664796910935729E-2</v>
      </c>
      <c r="X490" s="445">
        <f t="shared" si="115"/>
        <v>2.8929784325790174E-3</v>
      </c>
      <c r="Y490" s="43"/>
      <c r="Z490" s="388">
        <f t="shared" si="118"/>
        <v>2.2025312146617013</v>
      </c>
      <c r="AA490" s="43"/>
      <c r="AB490" s="462">
        <f>IF('TAR_Tab 2_Volumina'!C493="storage",1,0)</f>
        <v>0</v>
      </c>
      <c r="AC490" s="389">
        <f t="shared" si="117"/>
        <v>2.2025312146617013</v>
      </c>
      <c r="AD490" s="389">
        <f t="shared" si="119"/>
        <v>2.3507420222635371</v>
      </c>
      <c r="AE490" s="43"/>
      <c r="AF490" s="1027">
        <f t="shared" si="120"/>
        <v>2.3507420222635371</v>
      </c>
      <c r="AG490" s="392">
        <f t="shared" si="121"/>
        <v>2.351</v>
      </c>
      <c r="AH490" s="392">
        <f>AG490+'TAR_Tab 14_Overige tarieven'!$AA$14+'TAR_Tab 14_Overige tarieven'!$AA$15</f>
        <v>2.5310000000000001</v>
      </c>
      <c r="AI490" s="43"/>
    </row>
    <row r="491" spans="1:35">
      <c r="A491" s="96">
        <v>301355</v>
      </c>
      <c r="B491" s="1286" t="s">
        <v>20</v>
      </c>
      <c r="C491" s="1022"/>
      <c r="D491" s="1358"/>
      <c r="E491" s="1022"/>
      <c r="F491" s="1032">
        <v>0.71007692534954714</v>
      </c>
      <c r="G491" s="390">
        <f t="shared" si="111"/>
        <v>0.67570920216262909</v>
      </c>
      <c r="H491" s="390">
        <f t="shared" si="112"/>
        <v>0.69150120565527895</v>
      </c>
      <c r="I491" s="387"/>
      <c r="J491" s="388">
        <f t="shared" si="113"/>
        <v>0.65692614537251492</v>
      </c>
      <c r="K491" s="388">
        <f t="shared" si="114"/>
        <v>0.72607626593804298</v>
      </c>
      <c r="L491" s="1316">
        <v>0.69684742212669604</v>
      </c>
      <c r="M491" s="61" t="b">
        <f t="shared" si="123"/>
        <v>1</v>
      </c>
      <c r="N491" s="857">
        <f t="shared" si="116"/>
        <v>0.69684742212669604</v>
      </c>
      <c r="O491" s="15"/>
      <c r="P491" s="445">
        <f t="shared" si="122"/>
        <v>-3.2318291391064673E-2</v>
      </c>
      <c r="Q491" s="445">
        <f t="shared" si="109"/>
        <v>3.344081991732932E-2</v>
      </c>
      <c r="R491" s="445">
        <f t="shared" si="109"/>
        <v>0</v>
      </c>
      <c r="S491" s="445">
        <f t="shared" si="109"/>
        <v>1.2597993554386484E-3</v>
      </c>
      <c r="T491" s="445">
        <f t="shared" si="109"/>
        <v>2.9176713931776961E-2</v>
      </c>
      <c r="U491" s="445">
        <f t="shared" si="109"/>
        <v>-3.8183739239155147E-3</v>
      </c>
      <c r="V491" s="445">
        <f t="shared" si="109"/>
        <v>-1.4365153823085226E-4</v>
      </c>
      <c r="W491" s="445">
        <f t="shared" si="109"/>
        <v>-1.1877463749963221E-2</v>
      </c>
      <c r="X491" s="445">
        <f t="shared" si="109"/>
        <v>9.3717269308354E-4</v>
      </c>
      <c r="Y491" s="43"/>
      <c r="Z491" s="388">
        <f t="shared" si="118"/>
        <v>0.7135041474211502</v>
      </c>
      <c r="AA491" s="43"/>
      <c r="AB491" s="462">
        <f>IF('TAR_Tab 2_Volumina'!C494="storage",1,0)</f>
        <v>0</v>
      </c>
      <c r="AC491" s="389">
        <f t="shared" si="117"/>
        <v>0.7135041474211502</v>
      </c>
      <c r="AD491" s="389">
        <f t="shared" si="119"/>
        <v>0.76151664559261911</v>
      </c>
      <c r="AE491" s="43"/>
      <c r="AF491" s="1027">
        <f t="shared" si="120"/>
        <v>0.76151664559261911</v>
      </c>
      <c r="AG491" s="392">
        <f t="shared" si="121"/>
        <v>0.76200000000000001</v>
      </c>
      <c r="AH491" s="392">
        <f>AG491+'TAR_Tab 14_Overige tarieven'!$AA$14+'TAR_Tab 14_Overige tarieven'!$AA$15</f>
        <v>0.94200000000000006</v>
      </c>
      <c r="AI491" s="43"/>
    </row>
    <row r="492" spans="1:35">
      <c r="A492" s="96">
        <v>301356</v>
      </c>
      <c r="B492" s="1286" t="s">
        <v>831</v>
      </c>
      <c r="C492" s="1022"/>
      <c r="D492" s="1358"/>
      <c r="E492" s="1022"/>
      <c r="F492" s="1032">
        <v>1.2453120226023722</v>
      </c>
      <c r="G492" s="390">
        <f t="shared" si="111"/>
        <v>1.1850389207084173</v>
      </c>
      <c r="H492" s="390">
        <f t="shared" si="112"/>
        <v>1.2127344718639412</v>
      </c>
      <c r="I492" s="387"/>
      <c r="J492" s="388">
        <f t="shared" si="113"/>
        <v>1.1520977482707442</v>
      </c>
      <c r="K492" s="388">
        <f t="shared" si="114"/>
        <v>1.2733711954571383</v>
      </c>
      <c r="L492" s="1316">
        <v>1.2221105090362703</v>
      </c>
      <c r="M492" s="61" t="b">
        <f t="shared" si="123"/>
        <v>1</v>
      </c>
      <c r="N492" s="857">
        <f t="shared" si="116"/>
        <v>1.2221105090362703</v>
      </c>
      <c r="O492" s="15"/>
      <c r="P492" s="445">
        <f t="shared" si="122"/>
        <v>-5.6678868700665963E-2</v>
      </c>
      <c r="Q492" s="445">
        <f t="shared" ref="Q492:X523" si="124">$N492*Q$5</f>
        <v>5.8647526207433069E-2</v>
      </c>
      <c r="R492" s="445">
        <f t="shared" si="124"/>
        <v>0</v>
      </c>
      <c r="S492" s="445">
        <f t="shared" si="124"/>
        <v>2.2093990487328944E-3</v>
      </c>
      <c r="T492" s="445">
        <f t="shared" si="124"/>
        <v>5.1169262571637439E-2</v>
      </c>
      <c r="U492" s="445">
        <f t="shared" si="124"/>
        <v>-6.6965518586632354E-3</v>
      </c>
      <c r="V492" s="445">
        <f t="shared" si="124"/>
        <v>-2.5193184180170695E-4</v>
      </c>
      <c r="W492" s="445">
        <f t="shared" si="124"/>
        <v>-2.0830346512910363E-2</v>
      </c>
      <c r="X492" s="445">
        <f t="shared" si="124"/>
        <v>1.6435858993405037E-3</v>
      </c>
      <c r="Y492" s="43"/>
      <c r="Z492" s="388">
        <f t="shared" si="118"/>
        <v>1.2513225838493729</v>
      </c>
      <c r="AA492" s="43"/>
      <c r="AB492" s="462">
        <f>IF('TAR_Tab 2_Volumina'!C495="storage",1,0)</f>
        <v>0</v>
      </c>
      <c r="AC492" s="389">
        <f t="shared" si="117"/>
        <v>1.2513225838493729</v>
      </c>
      <c r="AD492" s="389">
        <f t="shared" si="119"/>
        <v>1.3355254907086145</v>
      </c>
      <c r="AE492" s="43"/>
      <c r="AF492" s="1027">
        <f t="shared" si="120"/>
        <v>1.3355254907086145</v>
      </c>
      <c r="AG492" s="392">
        <f t="shared" si="121"/>
        <v>1.3360000000000001</v>
      </c>
      <c r="AH492" s="392">
        <f>AG492+'TAR_Tab 14_Overige tarieven'!$AA$14+'TAR_Tab 14_Overige tarieven'!$AA$15</f>
        <v>1.516</v>
      </c>
      <c r="AI492" s="43"/>
    </row>
    <row r="493" spans="1:35">
      <c r="A493" s="96">
        <v>301360</v>
      </c>
      <c r="B493" s="1286" t="s">
        <v>189</v>
      </c>
      <c r="C493" s="1022"/>
      <c r="D493" s="1358"/>
      <c r="E493" s="1022"/>
      <c r="F493" s="1032">
        <v>0.79165809925261765</v>
      </c>
      <c r="G493" s="390">
        <f t="shared" si="111"/>
        <v>0.75334184724879094</v>
      </c>
      <c r="H493" s="390">
        <f t="shared" si="112"/>
        <v>0.77094820371816586</v>
      </c>
      <c r="I493" s="387"/>
      <c r="J493" s="388">
        <f t="shared" si="113"/>
        <v>0.73240079353225751</v>
      </c>
      <c r="K493" s="388">
        <f t="shared" si="114"/>
        <v>0.80949561390407421</v>
      </c>
      <c r="L493" s="1316">
        <v>0.73240079353225751</v>
      </c>
      <c r="M493" s="61" t="b">
        <f t="shared" si="123"/>
        <v>1</v>
      </c>
      <c r="N493" s="857">
        <f t="shared" si="116"/>
        <v>0.73240079353225751</v>
      </c>
      <c r="O493" s="15"/>
      <c r="P493" s="445">
        <f t="shared" si="122"/>
        <v>-3.3967180632145592E-2</v>
      </c>
      <c r="Q493" s="445">
        <f t="shared" si="124"/>
        <v>3.5146980911652609E-2</v>
      </c>
      <c r="R493" s="445">
        <f t="shared" si="124"/>
        <v>0</v>
      </c>
      <c r="S493" s="445">
        <f t="shared" si="124"/>
        <v>1.3240747089209115E-3</v>
      </c>
      <c r="T493" s="445">
        <f t="shared" si="124"/>
        <v>3.0665318917419984E-2</v>
      </c>
      <c r="U493" s="445">
        <f t="shared" si="124"/>
        <v>-4.0131885446942897E-3</v>
      </c>
      <c r="V493" s="445">
        <f t="shared" si="124"/>
        <v>-1.5098068422398061E-4</v>
      </c>
      <c r="W493" s="445">
        <f t="shared" si="124"/>
        <v>-1.2483455630897177E-2</v>
      </c>
      <c r="X493" s="445">
        <f t="shared" si="124"/>
        <v>9.8498753428172031E-4</v>
      </c>
      <c r="Y493" s="43"/>
      <c r="Z493" s="388">
        <f t="shared" si="118"/>
        <v>0.7499073501125717</v>
      </c>
      <c r="AA493" s="43"/>
      <c r="AB493" s="462">
        <f>IF('TAR_Tab 2_Volumina'!C496="storage",1,0)</f>
        <v>1</v>
      </c>
      <c r="AC493" s="389">
        <f t="shared" si="117"/>
        <v>0.56243051258442878</v>
      </c>
      <c r="AD493" s="389">
        <f t="shared" si="119"/>
        <v>0.56243051258442878</v>
      </c>
      <c r="AE493" s="43"/>
      <c r="AF493" s="1027">
        <f t="shared" si="120"/>
        <v>0.56243051258442878</v>
      </c>
      <c r="AG493" s="392">
        <f t="shared" si="121"/>
        <v>0.56200000000000006</v>
      </c>
      <c r="AH493" s="392">
        <f>AG493+'TAR_Tab 14_Overige tarieven'!$AA$14+'TAR_Tab 14_Overige tarieven'!$AA$15</f>
        <v>0.7420000000000001</v>
      </c>
      <c r="AI493" s="43"/>
    </row>
    <row r="494" spans="1:35">
      <c r="A494" s="96">
        <v>301361</v>
      </c>
      <c r="B494" s="1286" t="s">
        <v>49</v>
      </c>
      <c r="C494" s="1022"/>
      <c r="D494" s="1358"/>
      <c r="E494" s="1022"/>
      <c r="F494" s="1032">
        <v>0.7520751942899867</v>
      </c>
      <c r="G494" s="390">
        <f t="shared" si="111"/>
        <v>0.71567475488635135</v>
      </c>
      <c r="H494" s="390">
        <f t="shared" si="112"/>
        <v>0.73240079353225751</v>
      </c>
      <c r="I494" s="387"/>
      <c r="J494" s="388">
        <f t="shared" si="113"/>
        <v>0.69578075385564464</v>
      </c>
      <c r="K494" s="388">
        <f t="shared" si="114"/>
        <v>0.76902083320887038</v>
      </c>
      <c r="L494" s="1316">
        <v>0.73240079353225751</v>
      </c>
      <c r="M494" s="61" t="b">
        <f t="shared" si="123"/>
        <v>1</v>
      </c>
      <c r="N494" s="857">
        <f t="shared" si="116"/>
        <v>0.73240079353225751</v>
      </c>
      <c r="O494" s="15"/>
      <c r="P494" s="445">
        <f t="shared" si="122"/>
        <v>-3.3967180632145592E-2</v>
      </c>
      <c r="Q494" s="445">
        <f t="shared" si="124"/>
        <v>3.5146980911652609E-2</v>
      </c>
      <c r="R494" s="445">
        <f t="shared" si="124"/>
        <v>0</v>
      </c>
      <c r="S494" s="445">
        <f t="shared" si="124"/>
        <v>1.3240747089209115E-3</v>
      </c>
      <c r="T494" s="445">
        <f t="shared" si="124"/>
        <v>3.0665318917419984E-2</v>
      </c>
      <c r="U494" s="445">
        <f t="shared" si="124"/>
        <v>-4.0131885446942897E-3</v>
      </c>
      <c r="V494" s="445">
        <f t="shared" si="124"/>
        <v>-1.5098068422398061E-4</v>
      </c>
      <c r="W494" s="445">
        <f t="shared" si="124"/>
        <v>-1.2483455630897177E-2</v>
      </c>
      <c r="X494" s="445">
        <f t="shared" si="124"/>
        <v>9.8498753428172031E-4</v>
      </c>
      <c r="Y494" s="43"/>
      <c r="Z494" s="388">
        <f t="shared" si="118"/>
        <v>0.7499073501125717</v>
      </c>
      <c r="AA494" s="43"/>
      <c r="AB494" s="462">
        <f>IF('TAR_Tab 2_Volumina'!C497="storage",1,0)</f>
        <v>1</v>
      </c>
      <c r="AC494" s="389">
        <f t="shared" si="117"/>
        <v>0.56243051258442878</v>
      </c>
      <c r="AD494" s="389">
        <f t="shared" si="119"/>
        <v>0.56243051258442878</v>
      </c>
      <c r="AE494" s="43"/>
      <c r="AF494" s="1027">
        <f t="shared" si="120"/>
        <v>0.56243051258442878</v>
      </c>
      <c r="AG494" s="392">
        <f t="shared" si="121"/>
        <v>0.56200000000000006</v>
      </c>
      <c r="AH494" s="392">
        <f>AG494+'TAR_Tab 14_Overige tarieven'!$AA$14+'TAR_Tab 14_Overige tarieven'!$AA$15</f>
        <v>0.7420000000000001</v>
      </c>
      <c r="AI494" s="43"/>
    </row>
    <row r="495" spans="1:35">
      <c r="A495" s="96">
        <v>301364</v>
      </c>
      <c r="B495" s="1286" t="s">
        <v>21</v>
      </c>
      <c r="C495" s="1022"/>
      <c r="D495" s="1358"/>
      <c r="E495" s="1022"/>
      <c r="F495" s="1032">
        <v>1.950988835410383</v>
      </c>
      <c r="G495" s="390">
        <f t="shared" si="111"/>
        <v>1.8565609757765205</v>
      </c>
      <c r="H495" s="390">
        <f t="shared" si="112"/>
        <v>1.8999506725868411</v>
      </c>
      <c r="I495" s="387"/>
      <c r="J495" s="388">
        <f t="shared" si="113"/>
        <v>1.8049531389574991</v>
      </c>
      <c r="K495" s="388">
        <f t="shared" si="114"/>
        <v>1.9949482062161832</v>
      </c>
      <c r="L495" s="1316">
        <v>1.9146397974901568</v>
      </c>
      <c r="M495" s="61" t="b">
        <f t="shared" si="123"/>
        <v>1</v>
      </c>
      <c r="N495" s="857">
        <f t="shared" si="116"/>
        <v>1.9146397974901568</v>
      </c>
      <c r="O495" s="15"/>
      <c r="P495" s="445">
        <f t="shared" si="122"/>
        <v>-8.8796894297710011E-2</v>
      </c>
      <c r="Q495" s="445">
        <f t="shared" si="124"/>
        <v>9.1881124391645141E-2</v>
      </c>
      <c r="R495" s="445">
        <f t="shared" si="124"/>
        <v>0</v>
      </c>
      <c r="S495" s="445">
        <f t="shared" si="124"/>
        <v>3.4613918430148674E-3</v>
      </c>
      <c r="T495" s="445">
        <f t="shared" si="124"/>
        <v>8.0165178028898651E-2</v>
      </c>
      <c r="U495" s="445">
        <f t="shared" si="124"/>
        <v>-1.0491264578572402E-2</v>
      </c>
      <c r="V495" s="445">
        <f t="shared" si="124"/>
        <v>-3.9469321882267422E-4</v>
      </c>
      <c r="W495" s="445">
        <f t="shared" si="124"/>
        <v>-3.2634209536892902E-2</v>
      </c>
      <c r="X495" s="445">
        <f t="shared" si="124"/>
        <v>2.5749512423001225E-3</v>
      </c>
      <c r="Y495" s="43"/>
      <c r="Z495" s="388">
        <f t="shared" si="118"/>
        <v>1.9604053813640177</v>
      </c>
      <c r="AA495" s="43"/>
      <c r="AB495" s="462">
        <f>IF('TAR_Tab 2_Volumina'!C498="storage",1,0)</f>
        <v>0</v>
      </c>
      <c r="AC495" s="389">
        <f t="shared" si="117"/>
        <v>1.9604053813640177</v>
      </c>
      <c r="AD495" s="389">
        <f t="shared" si="119"/>
        <v>2.0923232687768296</v>
      </c>
      <c r="AE495" s="43"/>
      <c r="AF495" s="1027">
        <f t="shared" si="120"/>
        <v>2.0923232687768296</v>
      </c>
      <c r="AG495" s="392">
        <f t="shared" si="121"/>
        <v>2.0920000000000001</v>
      </c>
      <c r="AH495" s="392">
        <f>AG495+'TAR_Tab 14_Overige tarieven'!$AA$14+'TAR_Tab 14_Overige tarieven'!$AA$15</f>
        <v>2.2720000000000002</v>
      </c>
      <c r="AI495" s="43"/>
    </row>
    <row r="496" spans="1:35">
      <c r="A496" s="96">
        <v>301365</v>
      </c>
      <c r="B496" s="1286" t="s">
        <v>256</v>
      </c>
      <c r="C496" s="1022"/>
      <c r="D496" s="1358"/>
      <c r="E496" s="1022"/>
      <c r="F496" s="1032">
        <v>1.159886611128742</v>
      </c>
      <c r="G496" s="390">
        <f t="shared" si="111"/>
        <v>1.103748099150111</v>
      </c>
      <c r="H496" s="390">
        <f t="shared" si="112"/>
        <v>1.1295438020663915</v>
      </c>
      <c r="I496" s="387"/>
      <c r="J496" s="388">
        <f t="shared" si="113"/>
        <v>1.0730666119630718</v>
      </c>
      <c r="K496" s="388">
        <f t="shared" si="114"/>
        <v>1.1860209921697111</v>
      </c>
      <c r="L496" s="1316">
        <v>1.1382766656252798</v>
      </c>
      <c r="M496" s="61" t="b">
        <f t="shared" si="123"/>
        <v>1</v>
      </c>
      <c r="N496" s="857">
        <f t="shared" si="116"/>
        <v>1.1382766656252798</v>
      </c>
      <c r="O496" s="15"/>
      <c r="P496" s="445">
        <f t="shared" si="122"/>
        <v>-5.2790834543173341E-2</v>
      </c>
      <c r="Q496" s="445">
        <f t="shared" si="124"/>
        <v>5.4624446876912411E-2</v>
      </c>
      <c r="R496" s="445">
        <f t="shared" si="124"/>
        <v>0</v>
      </c>
      <c r="S496" s="445">
        <f t="shared" si="124"/>
        <v>2.0578395845810581E-3</v>
      </c>
      <c r="T496" s="445">
        <f t="shared" si="124"/>
        <v>4.7659174151508166E-2</v>
      </c>
      <c r="U496" s="445">
        <f t="shared" si="124"/>
        <v>-6.237184497232511E-3</v>
      </c>
      <c r="V496" s="445">
        <f t="shared" si="124"/>
        <v>-2.3464992300657129E-4</v>
      </c>
      <c r="W496" s="445">
        <f t="shared" si="124"/>
        <v>-1.9401434810696887E-2</v>
      </c>
      <c r="X496" s="445">
        <f t="shared" si="124"/>
        <v>1.5308398572280925E-3</v>
      </c>
      <c r="Y496" s="43"/>
      <c r="Z496" s="388">
        <f t="shared" si="118"/>
        <v>1.1654848623214003</v>
      </c>
      <c r="AA496" s="43"/>
      <c r="AB496" s="462">
        <f>IF('TAR_Tab 2_Volumina'!C499="storage",1,0)</f>
        <v>0</v>
      </c>
      <c r="AC496" s="389">
        <f t="shared" si="117"/>
        <v>1.1654848623214003</v>
      </c>
      <c r="AD496" s="389">
        <f t="shared" si="119"/>
        <v>1.2439116521632418</v>
      </c>
      <c r="AE496" s="43"/>
      <c r="AF496" s="1027">
        <f t="shared" si="120"/>
        <v>1.2439116521632418</v>
      </c>
      <c r="AG496" s="392">
        <f t="shared" si="121"/>
        <v>1.244</v>
      </c>
      <c r="AH496" s="392">
        <f>AG496+'TAR_Tab 14_Overige tarieven'!$AA$14+'TAR_Tab 14_Overige tarieven'!$AA$15</f>
        <v>1.4239999999999999</v>
      </c>
      <c r="AI496" s="43"/>
    </row>
    <row r="497" spans="1:35">
      <c r="A497" s="96">
        <v>301366</v>
      </c>
      <c r="B497" s="1286" t="s">
        <v>257</v>
      </c>
      <c r="C497" s="1022"/>
      <c r="D497" s="1358"/>
      <c r="E497" s="1022"/>
      <c r="F497" s="1032">
        <v>1.159886611128742</v>
      </c>
      <c r="G497" s="390">
        <f t="shared" si="111"/>
        <v>1.103748099150111</v>
      </c>
      <c r="H497" s="390">
        <f t="shared" si="112"/>
        <v>1.1295438020663915</v>
      </c>
      <c r="I497" s="387"/>
      <c r="J497" s="388">
        <f t="shared" si="113"/>
        <v>1.0730666119630718</v>
      </c>
      <c r="K497" s="388">
        <f t="shared" si="114"/>
        <v>1.1860209921697111</v>
      </c>
      <c r="L497" s="1316">
        <v>1.1520977482707442</v>
      </c>
      <c r="M497" s="61" t="b">
        <f t="shared" si="123"/>
        <v>1</v>
      </c>
      <c r="N497" s="857">
        <f t="shared" si="116"/>
        <v>1.1520977482707442</v>
      </c>
      <c r="O497" s="15"/>
      <c r="P497" s="445">
        <f t="shared" si="122"/>
        <v>-5.3431826763411322E-2</v>
      </c>
      <c r="Q497" s="445">
        <f t="shared" si="124"/>
        <v>5.5287703023285104E-2</v>
      </c>
      <c r="R497" s="445">
        <f t="shared" si="124"/>
        <v>0</v>
      </c>
      <c r="S497" s="445">
        <f t="shared" si="124"/>
        <v>2.0828261030861875E-3</v>
      </c>
      <c r="T497" s="445">
        <f t="shared" si="124"/>
        <v>4.8237857177045484E-2</v>
      </c>
      <c r="U497" s="445">
        <f t="shared" si="124"/>
        <v>-6.312917089329447E-3</v>
      </c>
      <c r="V497" s="445">
        <f t="shared" si="124"/>
        <v>-2.3749906862868957E-4</v>
      </c>
      <c r="W497" s="445">
        <f t="shared" si="124"/>
        <v>-1.9637009203159663E-2</v>
      </c>
      <c r="X497" s="445">
        <f t="shared" si="124"/>
        <v>1.5494274860732272E-3</v>
      </c>
      <c r="Y497" s="43"/>
      <c r="Z497" s="388">
        <f t="shared" si="118"/>
        <v>1.179636309935705</v>
      </c>
      <c r="AA497" s="43"/>
      <c r="AB497" s="462">
        <f>IF('TAR_Tab 2_Volumina'!C500="storage",1,0)</f>
        <v>0</v>
      </c>
      <c r="AC497" s="389">
        <f t="shared" si="117"/>
        <v>1.179636309935705</v>
      </c>
      <c r="AD497" s="389">
        <f t="shared" si="119"/>
        <v>1.2590153666356456</v>
      </c>
      <c r="AE497" s="43"/>
      <c r="AF497" s="1027">
        <f t="shared" si="120"/>
        <v>1.2590153666356456</v>
      </c>
      <c r="AG497" s="392">
        <f t="shared" si="121"/>
        <v>1.2589999999999999</v>
      </c>
      <c r="AH497" s="392">
        <f>AG497+'TAR_Tab 14_Overige tarieven'!$AA$14+'TAR_Tab 14_Overige tarieven'!$AA$15</f>
        <v>1.4389999999999998</v>
      </c>
      <c r="AI497" s="43"/>
    </row>
    <row r="498" spans="1:35">
      <c r="A498" s="96">
        <v>301368</v>
      </c>
      <c r="B498" s="1286" t="s">
        <v>832</v>
      </c>
      <c r="C498" s="1022"/>
      <c r="D498" s="1358"/>
      <c r="E498" s="1022"/>
      <c r="F498" s="1032">
        <v>1.7340248861756822</v>
      </c>
      <c r="G498" s="390">
        <f t="shared" si="111"/>
        <v>1.6500980816847792</v>
      </c>
      <c r="H498" s="390">
        <f t="shared" si="112"/>
        <v>1.6886625330579146</v>
      </c>
      <c r="I498" s="387"/>
      <c r="J498" s="388">
        <f t="shared" si="113"/>
        <v>1.6042294064050189</v>
      </c>
      <c r="K498" s="388">
        <f t="shared" si="114"/>
        <v>1.7730956597108103</v>
      </c>
      <c r="L498" s="1316">
        <v>1.7017181219347901</v>
      </c>
      <c r="M498" s="61" t="b">
        <f t="shared" si="123"/>
        <v>1</v>
      </c>
      <c r="N498" s="857">
        <f t="shared" si="116"/>
        <v>1.7017181219347901</v>
      </c>
      <c r="O498" s="15"/>
      <c r="P498" s="445">
        <f t="shared" si="122"/>
        <v>-7.8922042880349152E-2</v>
      </c>
      <c r="Q498" s="445">
        <f t="shared" si="124"/>
        <v>8.166328447051463E-2</v>
      </c>
      <c r="R498" s="445">
        <f t="shared" si="124"/>
        <v>0</v>
      </c>
      <c r="S498" s="445">
        <f t="shared" si="124"/>
        <v>3.0764602480827441E-3</v>
      </c>
      <c r="T498" s="445">
        <f t="shared" si="124"/>
        <v>7.1250235359534703E-2</v>
      </c>
      <c r="U498" s="445">
        <f t="shared" si="124"/>
        <v>-9.3245607235221996E-3</v>
      </c>
      <c r="V498" s="445">
        <f t="shared" si="124"/>
        <v>-3.5080050250484325E-4</v>
      </c>
      <c r="W498" s="445">
        <f t="shared" si="124"/>
        <v>-2.9005051413193199E-2</v>
      </c>
      <c r="X498" s="445">
        <f t="shared" si="124"/>
        <v>2.2885981989221376E-3</v>
      </c>
      <c r="Y498" s="43"/>
      <c r="Z498" s="388">
        <f t="shared" si="118"/>
        <v>1.7423942446922749</v>
      </c>
      <c r="AA498" s="43"/>
      <c r="AB498" s="462">
        <f>IF('TAR_Tab 2_Volumina'!C501="storage",1,0)</f>
        <v>0</v>
      </c>
      <c r="AC498" s="389">
        <f t="shared" si="117"/>
        <v>1.7423942446922749</v>
      </c>
      <c r="AD498" s="389">
        <f t="shared" si="119"/>
        <v>1.85964191702835</v>
      </c>
      <c r="AE498" s="43"/>
      <c r="AF498" s="1027">
        <f t="shared" si="120"/>
        <v>1.85964191702835</v>
      </c>
      <c r="AG498" s="392">
        <f t="shared" si="121"/>
        <v>1.86</v>
      </c>
      <c r="AH498" s="392">
        <f>AG498+'TAR_Tab 14_Overige tarieven'!$AA$14+'TAR_Tab 14_Overige tarieven'!$AA$15</f>
        <v>2.04</v>
      </c>
      <c r="AI498" s="43"/>
    </row>
    <row r="499" spans="1:35">
      <c r="A499" s="96">
        <v>301369</v>
      </c>
      <c r="B499" s="1286" t="s">
        <v>23</v>
      </c>
      <c r="C499" s="1022"/>
      <c r="D499" s="1358"/>
      <c r="E499" s="1022"/>
      <c r="F499" s="1032">
        <v>0.3270209620329807</v>
      </c>
      <c r="G499" s="390">
        <f t="shared" si="111"/>
        <v>0.31119314747058441</v>
      </c>
      <c r="H499" s="390">
        <f t="shared" si="112"/>
        <v>0.31846604423744151</v>
      </c>
      <c r="I499" s="387"/>
      <c r="J499" s="388">
        <f t="shared" si="113"/>
        <v>0.30254274202556941</v>
      </c>
      <c r="K499" s="388">
        <f t="shared" si="114"/>
        <v>0.33438934644931362</v>
      </c>
      <c r="L499" s="1316">
        <v>0.32092820684448403</v>
      </c>
      <c r="M499" s="61" t="b">
        <f t="shared" si="123"/>
        <v>1</v>
      </c>
      <c r="N499" s="857">
        <f t="shared" si="116"/>
        <v>0.32092820684448403</v>
      </c>
      <c r="O499" s="15"/>
      <c r="P499" s="445">
        <f t="shared" si="122"/>
        <v>-1.4883963081556999E-2</v>
      </c>
      <c r="Q499" s="445">
        <f t="shared" si="124"/>
        <v>1.5400935743903157E-2</v>
      </c>
      <c r="R499" s="445">
        <f t="shared" si="124"/>
        <v>0</v>
      </c>
      <c r="S499" s="445">
        <f t="shared" si="124"/>
        <v>5.8019178271603649E-4</v>
      </c>
      <c r="T499" s="445">
        <f t="shared" si="124"/>
        <v>1.3437131553364956E-2</v>
      </c>
      <c r="U499" s="445">
        <f t="shared" si="124"/>
        <v>-1.7585254067871751E-3</v>
      </c>
      <c r="V499" s="445">
        <f t="shared" si="124"/>
        <v>-6.6157711302399478E-5</v>
      </c>
      <c r="W499" s="445">
        <f t="shared" si="124"/>
        <v>-5.4700828647723972E-3</v>
      </c>
      <c r="X499" s="445">
        <f t="shared" si="124"/>
        <v>4.3160832966421367E-4</v>
      </c>
      <c r="Y499" s="43"/>
      <c r="Z499" s="388">
        <f t="shared" si="118"/>
        <v>0.3285993451897134</v>
      </c>
      <c r="AA499" s="43"/>
      <c r="AB499" s="462">
        <f>IF('TAR_Tab 2_Volumina'!C502="storage",1,0)</f>
        <v>0</v>
      </c>
      <c r="AC499" s="389">
        <f t="shared" si="117"/>
        <v>0.3285993451897134</v>
      </c>
      <c r="AD499" s="389">
        <f t="shared" si="119"/>
        <v>0.35071116544624598</v>
      </c>
      <c r="AE499" s="43"/>
      <c r="AF499" s="1027">
        <f t="shared" si="120"/>
        <v>0.35071116544624598</v>
      </c>
      <c r="AG499" s="392">
        <f t="shared" si="121"/>
        <v>0.35099999999999998</v>
      </c>
      <c r="AH499" s="392">
        <f>AG499+'TAR_Tab 14_Overige tarieven'!$AA$14+'TAR_Tab 14_Overige tarieven'!$AA$15</f>
        <v>0.53099999999999992</v>
      </c>
      <c r="AI499" s="43"/>
    </row>
    <row r="500" spans="1:35">
      <c r="A500" s="96">
        <v>301374</v>
      </c>
      <c r="B500" s="1286" t="s">
        <v>833</v>
      </c>
      <c r="C500" s="1022"/>
      <c r="D500" s="1358"/>
      <c r="E500" s="1022"/>
      <c r="F500" s="1032">
        <v>1.2453120226023722</v>
      </c>
      <c r="G500" s="390">
        <f t="shared" si="111"/>
        <v>1.1850389207084173</v>
      </c>
      <c r="H500" s="390">
        <f t="shared" si="112"/>
        <v>1.2127344718639412</v>
      </c>
      <c r="I500" s="43"/>
      <c r="J500" s="388">
        <f t="shared" si="113"/>
        <v>1.1520977482707442</v>
      </c>
      <c r="K500" s="388">
        <f t="shared" si="114"/>
        <v>1.2733711954571383</v>
      </c>
      <c r="L500" s="1316">
        <v>1.2221105090362703</v>
      </c>
      <c r="M500" s="61" t="b">
        <f t="shared" si="123"/>
        <v>1</v>
      </c>
      <c r="N500" s="857">
        <f t="shared" si="116"/>
        <v>1.2221105090362703</v>
      </c>
      <c r="P500" s="445">
        <f t="shared" si="122"/>
        <v>-5.6678868700665963E-2</v>
      </c>
      <c r="Q500" s="445">
        <f t="shared" si="124"/>
        <v>5.8647526207433069E-2</v>
      </c>
      <c r="R500" s="445">
        <f t="shared" si="124"/>
        <v>0</v>
      </c>
      <c r="S500" s="445">
        <f t="shared" si="124"/>
        <v>2.2093990487328944E-3</v>
      </c>
      <c r="T500" s="445">
        <f t="shared" si="124"/>
        <v>5.1169262571637439E-2</v>
      </c>
      <c r="U500" s="445">
        <f t="shared" si="124"/>
        <v>-6.6965518586632354E-3</v>
      </c>
      <c r="V500" s="445">
        <f t="shared" si="124"/>
        <v>-2.5193184180170695E-4</v>
      </c>
      <c r="W500" s="445">
        <f t="shared" si="124"/>
        <v>-2.0830346512910363E-2</v>
      </c>
      <c r="X500" s="445">
        <f t="shared" si="124"/>
        <v>1.6435858993405037E-3</v>
      </c>
      <c r="Y500" s="43"/>
      <c r="Z500" s="388">
        <f t="shared" si="118"/>
        <v>1.2513225838493729</v>
      </c>
      <c r="AA500" s="43"/>
      <c r="AB500" s="462">
        <f>IF('TAR_Tab 2_Volumina'!C503="storage",1,0)</f>
        <v>0</v>
      </c>
      <c r="AC500" s="389">
        <f t="shared" si="117"/>
        <v>1.2513225838493729</v>
      </c>
      <c r="AD500" s="389">
        <f t="shared" si="119"/>
        <v>1.3355254907086145</v>
      </c>
      <c r="AE500" s="43"/>
      <c r="AF500" s="1027">
        <f t="shared" si="120"/>
        <v>1.3355254907086145</v>
      </c>
      <c r="AG500" s="392">
        <f t="shared" si="121"/>
        <v>1.3360000000000001</v>
      </c>
      <c r="AH500" s="392">
        <f>AG500+'TAR_Tab 14_Overige tarieven'!$AA$14+'TAR_Tab 14_Overige tarieven'!$AA$15</f>
        <v>1.516</v>
      </c>
      <c r="AI500" s="43"/>
    </row>
    <row r="501" spans="1:35">
      <c r="A501" s="96">
        <v>301377</v>
      </c>
      <c r="B501" s="1286" t="s">
        <v>193</v>
      </c>
      <c r="C501" s="1022"/>
      <c r="D501" s="1358"/>
      <c r="E501" s="1022"/>
      <c r="F501" s="1032">
        <v>1.159886611128742</v>
      </c>
      <c r="G501" s="390">
        <f t="shared" si="111"/>
        <v>1.103748099150111</v>
      </c>
      <c r="H501" s="390">
        <f t="shared" si="112"/>
        <v>1.1295438020663915</v>
      </c>
      <c r="I501" s="43"/>
      <c r="J501" s="388">
        <f t="shared" si="113"/>
        <v>1.0730666119630718</v>
      </c>
      <c r="K501" s="388">
        <f t="shared" si="114"/>
        <v>1.1860209921697111</v>
      </c>
      <c r="L501" s="1316">
        <v>1.1520977482707442</v>
      </c>
      <c r="M501" s="61" t="b">
        <f t="shared" si="123"/>
        <v>1</v>
      </c>
      <c r="N501" s="857">
        <f t="shared" si="116"/>
        <v>1.1520977482707442</v>
      </c>
      <c r="P501" s="445">
        <f t="shared" si="122"/>
        <v>-5.3431826763411322E-2</v>
      </c>
      <c r="Q501" s="445">
        <f t="shared" si="124"/>
        <v>5.5287703023285104E-2</v>
      </c>
      <c r="R501" s="445">
        <f t="shared" si="124"/>
        <v>0</v>
      </c>
      <c r="S501" s="445">
        <f t="shared" si="124"/>
        <v>2.0828261030861875E-3</v>
      </c>
      <c r="T501" s="445">
        <f t="shared" si="124"/>
        <v>4.8237857177045484E-2</v>
      </c>
      <c r="U501" s="445">
        <f t="shared" si="124"/>
        <v>-6.312917089329447E-3</v>
      </c>
      <c r="V501" s="445">
        <f t="shared" si="124"/>
        <v>-2.3749906862868957E-4</v>
      </c>
      <c r="W501" s="445">
        <f t="shared" si="124"/>
        <v>-1.9637009203159663E-2</v>
      </c>
      <c r="X501" s="445">
        <f t="shared" si="124"/>
        <v>1.5494274860732272E-3</v>
      </c>
      <c r="Y501" s="43"/>
      <c r="Z501" s="388">
        <f t="shared" si="118"/>
        <v>1.179636309935705</v>
      </c>
      <c r="AA501" s="43"/>
      <c r="AB501" s="462">
        <f>IF('TAR_Tab 2_Volumina'!C504="storage",1,0)</f>
        <v>0</v>
      </c>
      <c r="AC501" s="389">
        <f t="shared" si="117"/>
        <v>1.179636309935705</v>
      </c>
      <c r="AD501" s="389">
        <f t="shared" si="119"/>
        <v>1.2590153666356456</v>
      </c>
      <c r="AE501" s="43"/>
      <c r="AF501" s="1027">
        <f t="shared" si="120"/>
        <v>1.2590153666356456</v>
      </c>
      <c r="AG501" s="392">
        <f t="shared" si="121"/>
        <v>1.2589999999999999</v>
      </c>
      <c r="AH501" s="392">
        <f>AG501+'TAR_Tab 14_Overige tarieven'!$AA$14+'TAR_Tab 14_Overige tarieven'!$AA$15</f>
        <v>1.4389999999999998</v>
      </c>
      <c r="AI501" s="43"/>
    </row>
    <row r="502" spans="1:35">
      <c r="A502" s="96">
        <v>301385</v>
      </c>
      <c r="B502" s="1286" t="s">
        <v>834</v>
      </c>
      <c r="C502" s="1022"/>
      <c r="D502" s="1358"/>
      <c r="E502" s="1022"/>
      <c r="F502" s="1032">
        <v>1.9638305431277803</v>
      </c>
      <c r="G502" s="390">
        <f t="shared" si="111"/>
        <v>1.8687811448403957</v>
      </c>
      <c r="H502" s="390">
        <f t="shared" si="112"/>
        <v>1.9124564392893453</v>
      </c>
      <c r="I502" s="43"/>
      <c r="J502" s="388">
        <f t="shared" si="113"/>
        <v>1.816833617324878</v>
      </c>
      <c r="K502" s="388">
        <f t="shared" si="114"/>
        <v>2.0080792612538128</v>
      </c>
      <c r="L502" s="1316">
        <v>1.9272422502654918</v>
      </c>
      <c r="M502" s="61" t="b">
        <f t="shared" si="123"/>
        <v>1</v>
      </c>
      <c r="N502" s="857">
        <f t="shared" si="116"/>
        <v>1.9272422502654918</v>
      </c>
      <c r="P502" s="445">
        <f t="shared" si="122"/>
        <v>-8.9381369073827294E-2</v>
      </c>
      <c r="Q502" s="445">
        <f t="shared" si="124"/>
        <v>9.2485900043236785E-2</v>
      </c>
      <c r="R502" s="445">
        <f t="shared" si="124"/>
        <v>0</v>
      </c>
      <c r="S502" s="445">
        <f t="shared" si="124"/>
        <v>3.4841752549630094E-3</v>
      </c>
      <c r="T502" s="445">
        <f t="shared" si="124"/>
        <v>8.0692837524778696E-2</v>
      </c>
      <c r="U502" s="445">
        <f t="shared" si="124"/>
        <v>-1.0560319690963944E-2</v>
      </c>
      <c r="V502" s="445">
        <f t="shared" si="124"/>
        <v>-3.9729115011893061E-4</v>
      </c>
      <c r="W502" s="445">
        <f t="shared" si="124"/>
        <v>-3.2849012908831694E-2</v>
      </c>
      <c r="X502" s="445">
        <f t="shared" si="124"/>
        <v>2.5918999662702478E-3</v>
      </c>
      <c r="Y502" s="43"/>
      <c r="Z502" s="388">
        <f t="shared" si="118"/>
        <v>1.9733090702309988</v>
      </c>
      <c r="AA502" s="43"/>
      <c r="AB502" s="462">
        <f>IF('TAR_Tab 2_Volumina'!C505="storage",1,0)</f>
        <v>0</v>
      </c>
      <c r="AC502" s="389">
        <f t="shared" si="117"/>
        <v>1.9733090702309988</v>
      </c>
      <c r="AD502" s="389">
        <f t="shared" si="119"/>
        <v>2.1060952614096267</v>
      </c>
      <c r="AE502" s="43"/>
      <c r="AF502" s="1027">
        <f t="shared" si="120"/>
        <v>2.1060952614096267</v>
      </c>
      <c r="AG502" s="392">
        <f t="shared" si="121"/>
        <v>2.1059999999999999</v>
      </c>
      <c r="AH502" s="392">
        <f>AG502+'TAR_Tab 14_Overige tarieven'!$AA$14+'TAR_Tab 14_Overige tarieven'!$AA$15</f>
        <v>2.286</v>
      </c>
      <c r="AI502" s="43"/>
    </row>
    <row r="503" spans="1:35">
      <c r="A503" s="96">
        <v>301389</v>
      </c>
      <c r="B503" s="1286" t="s">
        <v>835</v>
      </c>
      <c r="C503" s="1022"/>
      <c r="D503" s="1358"/>
      <c r="E503" s="1022"/>
      <c r="F503" s="1032">
        <v>1.8347796806751604</v>
      </c>
      <c r="G503" s="390">
        <f t="shared" si="111"/>
        <v>1.7459763441304825</v>
      </c>
      <c r="H503" s="390">
        <f t="shared" si="112"/>
        <v>1.7867815669043414</v>
      </c>
      <c r="I503" s="43"/>
      <c r="J503" s="388">
        <f t="shared" si="113"/>
        <v>1.6974424885591242</v>
      </c>
      <c r="K503" s="388">
        <f t="shared" si="114"/>
        <v>1.8761206452495587</v>
      </c>
      <c r="L503" s="1316">
        <v>1.8005957453405976</v>
      </c>
      <c r="M503" s="61" t="b">
        <f t="shared" si="123"/>
        <v>1</v>
      </c>
      <c r="N503" s="857">
        <f t="shared" si="116"/>
        <v>1.8005957453405976</v>
      </c>
      <c r="P503" s="445">
        <f t="shared" si="122"/>
        <v>-8.3507775343177784E-2</v>
      </c>
      <c r="Q503" s="445">
        <f t="shared" si="124"/>
        <v>8.6408295635334503E-2</v>
      </c>
      <c r="R503" s="445">
        <f t="shared" si="124"/>
        <v>0</v>
      </c>
      <c r="S503" s="445">
        <f t="shared" si="124"/>
        <v>3.2552166907108605E-3</v>
      </c>
      <c r="T503" s="445">
        <f t="shared" si="124"/>
        <v>7.5390200638534757E-2</v>
      </c>
      <c r="U503" s="445">
        <f t="shared" si="124"/>
        <v>-9.8663604444987531E-3</v>
      </c>
      <c r="V503" s="445">
        <f t="shared" si="124"/>
        <v>-3.7118361973803392E-4</v>
      </c>
      <c r="W503" s="445">
        <f t="shared" si="124"/>
        <v>-3.0690377856822448E-2</v>
      </c>
      <c r="X503" s="445">
        <f t="shared" si="124"/>
        <v>2.4215762450059083E-3</v>
      </c>
      <c r="Y503" s="43"/>
      <c r="Z503" s="388">
        <f t="shared" si="118"/>
        <v>1.8436353372859466</v>
      </c>
      <c r="AA503" s="43"/>
      <c r="AB503" s="462">
        <f>IF('TAR_Tab 2_Volumina'!C506="storage",1,0)</f>
        <v>0</v>
      </c>
      <c r="AC503" s="389">
        <f t="shared" si="117"/>
        <v>1.8436353372859466</v>
      </c>
      <c r="AD503" s="389">
        <f t="shared" si="119"/>
        <v>1.9676956368374345</v>
      </c>
      <c r="AE503" s="43"/>
      <c r="AF503" s="1027">
        <f t="shared" si="120"/>
        <v>1.9676956368374345</v>
      </c>
      <c r="AG503" s="392">
        <f t="shared" si="121"/>
        <v>1.968</v>
      </c>
      <c r="AH503" s="392">
        <f>AG503+'TAR_Tab 14_Overige tarieven'!$AA$14+'TAR_Tab 14_Overige tarieven'!$AA$15</f>
        <v>2.1480000000000001</v>
      </c>
      <c r="AI503" s="43"/>
    </row>
    <row r="504" spans="1:35">
      <c r="A504" s="96">
        <v>301390</v>
      </c>
      <c r="B504" s="1286" t="s">
        <v>836</v>
      </c>
      <c r="C504" s="1022"/>
      <c r="D504" s="1358"/>
      <c r="E504" s="1022"/>
      <c r="F504" s="1032">
        <v>1.2306114044902512</v>
      </c>
      <c r="G504" s="390">
        <f t="shared" si="111"/>
        <v>1.1710498125129229</v>
      </c>
      <c r="H504" s="390">
        <f t="shared" si="112"/>
        <v>1.1984184241436109</v>
      </c>
      <c r="I504" s="43"/>
      <c r="J504" s="388">
        <f t="shared" si="113"/>
        <v>1.1384975029364304</v>
      </c>
      <c r="K504" s="388">
        <f t="shared" si="114"/>
        <v>1.2583393453507914</v>
      </c>
      <c r="L504" s="1316">
        <v>1.2076837793829194</v>
      </c>
      <c r="M504" s="61" t="b">
        <f t="shared" si="123"/>
        <v>1</v>
      </c>
      <c r="N504" s="857">
        <f t="shared" si="116"/>
        <v>1.2076837793829194</v>
      </c>
      <c r="P504" s="445">
        <f t="shared" si="122"/>
        <v>-5.6009787868976618E-2</v>
      </c>
      <c r="Q504" s="445">
        <f t="shared" si="124"/>
        <v>5.7955205832821724E-2</v>
      </c>
      <c r="R504" s="445">
        <f t="shared" si="124"/>
        <v>0</v>
      </c>
      <c r="S504" s="445">
        <f t="shared" si="124"/>
        <v>2.1833176080311234E-3</v>
      </c>
      <c r="T504" s="445">
        <f t="shared" si="124"/>
        <v>5.0565221355868439E-2</v>
      </c>
      <c r="U504" s="445">
        <f t="shared" si="124"/>
        <v>-6.6175006251125452E-3</v>
      </c>
      <c r="V504" s="445">
        <f t="shared" si="124"/>
        <v>-2.4895784514111845E-4</v>
      </c>
      <c r="W504" s="445">
        <f t="shared" si="124"/>
        <v>-2.0584449128422316E-2</v>
      </c>
      <c r="X504" s="445">
        <f t="shared" si="124"/>
        <v>1.6241837509615134E-3</v>
      </c>
      <c r="Y504" s="43"/>
      <c r="Z504" s="388">
        <f t="shared" si="118"/>
        <v>1.2365510124629495</v>
      </c>
      <c r="AA504" s="43"/>
      <c r="AB504" s="462">
        <f>IF('TAR_Tab 2_Volumina'!C507="storage",1,0)</f>
        <v>0</v>
      </c>
      <c r="AC504" s="389">
        <f t="shared" si="117"/>
        <v>1.2365510124629495</v>
      </c>
      <c r="AD504" s="389">
        <f t="shared" si="119"/>
        <v>1.3197599236366107</v>
      </c>
      <c r="AE504" s="43"/>
      <c r="AF504" s="1027">
        <f t="shared" si="120"/>
        <v>1.3197599236366107</v>
      </c>
      <c r="AG504" s="392">
        <f t="shared" si="121"/>
        <v>1.32</v>
      </c>
      <c r="AH504" s="392">
        <f>AG504+'TAR_Tab 14_Overige tarieven'!$AA$14+'TAR_Tab 14_Overige tarieven'!$AA$15</f>
        <v>1.5</v>
      </c>
      <c r="AI504" s="43"/>
    </row>
    <row r="505" spans="1:35">
      <c r="A505" s="96">
        <v>301391</v>
      </c>
      <c r="B505" s="1286" t="s">
        <v>658</v>
      </c>
      <c r="C505" s="1022"/>
      <c r="D505" s="1358"/>
      <c r="E505" s="1022"/>
      <c r="F505" s="1032">
        <v>0.7520751942899867</v>
      </c>
      <c r="G505" s="390">
        <f t="shared" si="111"/>
        <v>0.71567475488635135</v>
      </c>
      <c r="H505" s="390">
        <f t="shared" si="112"/>
        <v>0.73240079353225751</v>
      </c>
      <c r="I505" s="43"/>
      <c r="J505" s="388">
        <f t="shared" si="113"/>
        <v>0.69578075385564464</v>
      </c>
      <c r="K505" s="388">
        <f t="shared" si="114"/>
        <v>0.76902083320887038</v>
      </c>
      <c r="L505" s="1316">
        <v>0.73240079353225751</v>
      </c>
      <c r="M505" s="61" t="b">
        <f t="shared" si="123"/>
        <v>1</v>
      </c>
      <c r="N505" s="857">
        <f t="shared" si="116"/>
        <v>0.73240079353225751</v>
      </c>
      <c r="P505" s="445">
        <f t="shared" si="122"/>
        <v>-3.3967180632145592E-2</v>
      </c>
      <c r="Q505" s="445">
        <f t="shared" si="124"/>
        <v>3.5146980911652609E-2</v>
      </c>
      <c r="R505" s="445">
        <f t="shared" si="124"/>
        <v>0</v>
      </c>
      <c r="S505" s="445">
        <f t="shared" si="124"/>
        <v>1.3240747089209115E-3</v>
      </c>
      <c r="T505" s="445">
        <f t="shared" si="124"/>
        <v>3.0665318917419984E-2</v>
      </c>
      <c r="U505" s="445">
        <f t="shared" si="124"/>
        <v>-4.0131885446942897E-3</v>
      </c>
      <c r="V505" s="445">
        <f t="shared" si="124"/>
        <v>-1.5098068422398061E-4</v>
      </c>
      <c r="W505" s="445">
        <f t="shared" si="124"/>
        <v>-1.2483455630897177E-2</v>
      </c>
      <c r="X505" s="445">
        <f t="shared" si="124"/>
        <v>9.8498753428172031E-4</v>
      </c>
      <c r="Y505" s="43"/>
      <c r="Z505" s="388">
        <f t="shared" si="118"/>
        <v>0.7499073501125717</v>
      </c>
      <c r="AA505" s="43"/>
      <c r="AB505" s="462">
        <f>IF('TAR_Tab 2_Volumina'!C508="storage",1,0)</f>
        <v>1</v>
      </c>
      <c r="AC505" s="389">
        <f t="shared" si="117"/>
        <v>0.56243051258442878</v>
      </c>
      <c r="AD505" s="389">
        <f t="shared" si="119"/>
        <v>0.56243051258442878</v>
      </c>
      <c r="AE505" s="43"/>
      <c r="AF505" s="1027">
        <f t="shared" si="120"/>
        <v>0.56243051258442878</v>
      </c>
      <c r="AG505" s="392">
        <f t="shared" si="121"/>
        <v>0.56200000000000006</v>
      </c>
      <c r="AH505" s="392">
        <f>AG505+'TAR_Tab 14_Overige tarieven'!$AA$14+'TAR_Tab 14_Overige tarieven'!$AA$15</f>
        <v>0.7420000000000001</v>
      </c>
      <c r="AI505" s="43"/>
    </row>
    <row r="506" spans="1:35">
      <c r="A506" s="96">
        <v>301395</v>
      </c>
      <c r="B506" s="1286" t="s">
        <v>2</v>
      </c>
      <c r="C506" s="1022"/>
      <c r="D506" s="1358"/>
      <c r="E506" s="1022"/>
      <c r="F506" s="1032">
        <v>2.6474770634113538</v>
      </c>
      <c r="G506" s="390">
        <f t="shared" si="111"/>
        <v>2.5193391735422441</v>
      </c>
      <c r="H506" s="390">
        <f t="shared" si="112"/>
        <v>2.5782186632700945</v>
      </c>
      <c r="I506" s="43"/>
      <c r="J506" s="388">
        <f t="shared" si="113"/>
        <v>2.4493077301065895</v>
      </c>
      <c r="K506" s="388">
        <f t="shared" si="114"/>
        <v>2.7071295964335995</v>
      </c>
      <c r="L506" s="1316">
        <v>2.5981516944373038</v>
      </c>
      <c r="M506" s="61" t="b">
        <f t="shared" si="123"/>
        <v>1</v>
      </c>
      <c r="N506" s="857">
        <f t="shared" si="116"/>
        <v>2.5981516944373038</v>
      </c>
      <c r="P506" s="445">
        <f t="shared" si="122"/>
        <v>-0.12049671258415984</v>
      </c>
      <c r="Q506" s="445">
        <f t="shared" si="124"/>
        <v>0.12468198944673027</v>
      </c>
      <c r="R506" s="445">
        <f t="shared" si="124"/>
        <v>0</v>
      </c>
      <c r="S506" s="445">
        <f t="shared" si="124"/>
        <v>4.6970824976214744E-3</v>
      </c>
      <c r="T506" s="445">
        <f t="shared" si="124"/>
        <v>0.10878353902581613</v>
      </c>
      <c r="U506" s="445">
        <f t="shared" si="124"/>
        <v>-1.4236566521462419E-2</v>
      </c>
      <c r="V506" s="445">
        <f t="shared" si="124"/>
        <v>-5.3559570662393302E-4</v>
      </c>
      <c r="W506" s="445">
        <f t="shared" si="124"/>
        <v>-4.4284375011972049E-2</v>
      </c>
      <c r="X506" s="445">
        <f t="shared" si="124"/>
        <v>3.4941893206468242E-3</v>
      </c>
      <c r="Y506" s="43"/>
      <c r="Z506" s="388">
        <f t="shared" si="118"/>
        <v>2.6602552449039001</v>
      </c>
      <c r="AA506" s="43"/>
      <c r="AB506" s="462">
        <f>IF('TAR_Tab 2_Volumina'!C509="storage",1,0)</f>
        <v>0</v>
      </c>
      <c r="AC506" s="389">
        <f t="shared" si="117"/>
        <v>2.6602552449039001</v>
      </c>
      <c r="AD506" s="389">
        <f t="shared" si="119"/>
        <v>2.8392668183379621</v>
      </c>
      <c r="AE506" s="43"/>
      <c r="AF506" s="1027">
        <f t="shared" si="120"/>
        <v>2.8392668183379621</v>
      </c>
      <c r="AG506" s="392">
        <f t="shared" si="121"/>
        <v>2.839</v>
      </c>
      <c r="AH506" s="392">
        <f>AG506+'TAR_Tab 14_Overige tarieven'!$AA$14+'TAR_Tab 14_Overige tarieven'!$AA$15</f>
        <v>3.0190000000000001</v>
      </c>
      <c r="AI506" s="43"/>
    </row>
    <row r="507" spans="1:35">
      <c r="A507" s="96">
        <v>301396</v>
      </c>
      <c r="B507" s="1286" t="s">
        <v>194</v>
      </c>
      <c r="C507" s="1022"/>
      <c r="D507" s="1358"/>
      <c r="E507" s="1022"/>
      <c r="F507" s="1032">
        <v>0.87678065981597897</v>
      </c>
      <c r="G507" s="390">
        <f t="shared" si="111"/>
        <v>0.83434447588088556</v>
      </c>
      <c r="H507" s="390">
        <f t="shared" si="112"/>
        <v>0.85384394523103491</v>
      </c>
      <c r="I507" s="43"/>
      <c r="J507" s="388">
        <f t="shared" si="113"/>
        <v>0.81115174796948308</v>
      </c>
      <c r="K507" s="388">
        <f t="shared" si="114"/>
        <v>0.89653614249258673</v>
      </c>
      <c r="L507" s="1316">
        <v>0.86044528522391051</v>
      </c>
      <c r="M507" s="61" t="b">
        <f t="shared" si="123"/>
        <v>1</v>
      </c>
      <c r="N507" s="857">
        <f t="shared" si="116"/>
        <v>0.86044528522391051</v>
      </c>
      <c r="P507" s="445">
        <f t="shared" si="122"/>
        <v>-3.9905609995753433E-2</v>
      </c>
      <c r="Q507" s="445">
        <f t="shared" si="124"/>
        <v>4.129167292328214E-2</v>
      </c>
      <c r="R507" s="445">
        <f t="shared" si="124"/>
        <v>0</v>
      </c>
      <c r="S507" s="445">
        <f t="shared" si="124"/>
        <v>1.5555606310590944E-3</v>
      </c>
      <c r="T507" s="445">
        <f t="shared" si="124"/>
        <v>3.6026488932551233E-2</v>
      </c>
      <c r="U507" s="445">
        <f t="shared" si="124"/>
        <v>-4.7148080565872852E-3</v>
      </c>
      <c r="V507" s="445">
        <f t="shared" si="124"/>
        <v>-1.7737640243925055E-4</v>
      </c>
      <c r="W507" s="445">
        <f t="shared" si="124"/>
        <v>-1.4665918764374288E-2</v>
      </c>
      <c r="X507" s="445">
        <f t="shared" si="124"/>
        <v>1.1571913730316066E-3</v>
      </c>
      <c r="Y507" s="43"/>
      <c r="Z507" s="388">
        <f t="shared" si="118"/>
        <v>0.88101248586468028</v>
      </c>
      <c r="AA507" s="43"/>
      <c r="AB507" s="462">
        <f>IF('TAR_Tab 2_Volumina'!C510="storage",1,0)</f>
        <v>0</v>
      </c>
      <c r="AC507" s="389">
        <f t="shared" si="117"/>
        <v>0.88101248586468028</v>
      </c>
      <c r="AD507" s="389">
        <f t="shared" si="119"/>
        <v>0.94029680890541467</v>
      </c>
      <c r="AE507" s="43"/>
      <c r="AF507" s="1027">
        <f t="shared" si="120"/>
        <v>0.94029680890541467</v>
      </c>
      <c r="AG507" s="392">
        <f t="shared" si="121"/>
        <v>0.94</v>
      </c>
      <c r="AH507" s="392">
        <f>AG507+'TAR_Tab 14_Overige tarieven'!$AA$14+'TAR_Tab 14_Overige tarieven'!$AA$15</f>
        <v>1.1200000000000001</v>
      </c>
      <c r="AI507" s="43"/>
    </row>
    <row r="508" spans="1:35">
      <c r="A508" s="96">
        <v>301397</v>
      </c>
      <c r="B508" s="1286" t="s">
        <v>190</v>
      </c>
      <c r="C508" s="1022"/>
      <c r="D508" s="1358"/>
      <c r="E508" s="1022"/>
      <c r="F508" s="1032">
        <v>1.3417124601326031</v>
      </c>
      <c r="G508" s="390">
        <f t="shared" si="111"/>
        <v>1.2767735770621851</v>
      </c>
      <c r="H508" s="390">
        <f t="shared" si="112"/>
        <v>1.3066130593775913</v>
      </c>
      <c r="I508" s="43"/>
      <c r="J508" s="388">
        <f t="shared" si="113"/>
        <v>1.2412824064087118</v>
      </c>
      <c r="K508" s="388">
        <f t="shared" si="114"/>
        <v>1.3719437123464708</v>
      </c>
      <c r="L508" s="1316">
        <v>1.3167149018656223</v>
      </c>
      <c r="M508" s="61" t="b">
        <f t="shared" si="123"/>
        <v>1</v>
      </c>
      <c r="N508" s="857">
        <f t="shared" si="116"/>
        <v>1.3167149018656223</v>
      </c>
      <c r="P508" s="445">
        <f t="shared" si="122"/>
        <v>-6.1066417878939121E-2</v>
      </c>
      <c r="Q508" s="445">
        <f t="shared" si="124"/>
        <v>6.3187470481517571E-2</v>
      </c>
      <c r="R508" s="445">
        <f t="shared" si="124"/>
        <v>0</v>
      </c>
      <c r="S508" s="445">
        <f t="shared" si="124"/>
        <v>2.3804301085082915E-3</v>
      </c>
      <c r="T508" s="445">
        <f t="shared" si="124"/>
        <v>5.5130309450231771E-2</v>
      </c>
      <c r="U508" s="445">
        <f t="shared" si="124"/>
        <v>-7.2149364220516045E-3</v>
      </c>
      <c r="V508" s="445">
        <f t="shared" si="124"/>
        <v>-2.7143405436906776E-4</v>
      </c>
      <c r="W508" s="445">
        <f t="shared" si="124"/>
        <v>-2.2442837584468946E-2</v>
      </c>
      <c r="X508" s="445">
        <f t="shared" si="124"/>
        <v>1.7708169843531098E-3</v>
      </c>
      <c r="Y508" s="43"/>
      <c r="Z508" s="388">
        <f t="shared" si="118"/>
        <v>1.3481883029504043</v>
      </c>
      <c r="AA508" s="43"/>
      <c r="AB508" s="462">
        <f>IF('TAR_Tab 2_Volumina'!C511="storage",1,0)</f>
        <v>1</v>
      </c>
      <c r="AC508" s="389">
        <f t="shared" si="117"/>
        <v>1.0111412272128031</v>
      </c>
      <c r="AD508" s="389">
        <f t="shared" si="119"/>
        <v>1.0111412272128031</v>
      </c>
      <c r="AE508" s="43"/>
      <c r="AF508" s="1027">
        <f t="shared" si="120"/>
        <v>1.0111412272128031</v>
      </c>
      <c r="AG508" s="392">
        <f t="shared" si="121"/>
        <v>1.0109999999999999</v>
      </c>
      <c r="AH508" s="392">
        <f>AG508+'TAR_Tab 14_Overige tarieven'!$AA$14+'TAR_Tab 14_Overige tarieven'!$AA$15</f>
        <v>1.1909999999999998</v>
      </c>
      <c r="AI508" s="43"/>
    </row>
    <row r="509" spans="1:35">
      <c r="A509" s="96">
        <v>301400</v>
      </c>
      <c r="B509" s="1286" t="s">
        <v>191</v>
      </c>
      <c r="C509" s="1022"/>
      <c r="D509" s="1358"/>
      <c r="E509" s="1022"/>
      <c r="F509" s="1032">
        <v>0.79165809925261765</v>
      </c>
      <c r="G509" s="390">
        <f t="shared" si="111"/>
        <v>0.75334184724879094</v>
      </c>
      <c r="H509" s="390">
        <f t="shared" si="112"/>
        <v>0.77094820371816586</v>
      </c>
      <c r="I509" s="43"/>
      <c r="J509" s="388">
        <f t="shared" si="113"/>
        <v>0.73240079353225751</v>
      </c>
      <c r="K509" s="388">
        <f t="shared" si="114"/>
        <v>0.80949561390407421</v>
      </c>
      <c r="L509" s="1316">
        <v>0.73240079353225751</v>
      </c>
      <c r="M509" s="61" t="b">
        <f t="shared" si="123"/>
        <v>1</v>
      </c>
      <c r="N509" s="857">
        <f t="shared" si="116"/>
        <v>0.73240079353225751</v>
      </c>
      <c r="P509" s="445">
        <f t="shared" si="122"/>
        <v>-3.3967180632145592E-2</v>
      </c>
      <c r="Q509" s="445">
        <f t="shared" si="124"/>
        <v>3.5146980911652609E-2</v>
      </c>
      <c r="R509" s="445">
        <f t="shared" si="124"/>
        <v>0</v>
      </c>
      <c r="S509" s="445">
        <f t="shared" si="124"/>
        <v>1.3240747089209115E-3</v>
      </c>
      <c r="T509" s="445">
        <f t="shared" si="124"/>
        <v>3.0665318917419984E-2</v>
      </c>
      <c r="U509" s="445">
        <f t="shared" si="124"/>
        <v>-4.0131885446942897E-3</v>
      </c>
      <c r="V509" s="445">
        <f t="shared" si="124"/>
        <v>-1.5098068422398061E-4</v>
      </c>
      <c r="W509" s="445">
        <f t="shared" si="124"/>
        <v>-1.2483455630897177E-2</v>
      </c>
      <c r="X509" s="445">
        <f t="shared" si="124"/>
        <v>9.8498753428172031E-4</v>
      </c>
      <c r="Y509" s="43"/>
      <c r="Z509" s="388">
        <f t="shared" si="118"/>
        <v>0.7499073501125717</v>
      </c>
      <c r="AA509" s="43"/>
      <c r="AB509" s="462">
        <f>IF('TAR_Tab 2_Volumina'!C512="storage",1,0)</f>
        <v>1</v>
      </c>
      <c r="AC509" s="389">
        <f t="shared" si="117"/>
        <v>0.56243051258442878</v>
      </c>
      <c r="AD509" s="389">
        <f t="shared" si="119"/>
        <v>0.56243051258442878</v>
      </c>
      <c r="AE509" s="43"/>
      <c r="AF509" s="1027">
        <f t="shared" si="120"/>
        <v>0.56243051258442878</v>
      </c>
      <c r="AG509" s="392">
        <f t="shared" si="121"/>
        <v>0.56200000000000006</v>
      </c>
      <c r="AH509" s="392">
        <f>AG509+'TAR_Tab 14_Overige tarieven'!$AA$14+'TAR_Tab 14_Overige tarieven'!$AA$15</f>
        <v>0.7420000000000001</v>
      </c>
      <c r="AI509" s="43"/>
    </row>
    <row r="510" spans="1:35">
      <c r="A510" s="96">
        <v>301401</v>
      </c>
      <c r="B510" s="1286" t="s">
        <v>534</v>
      </c>
      <c r="C510" s="1022"/>
      <c r="D510" s="1358"/>
      <c r="E510" s="1022"/>
      <c r="F510" s="1032">
        <v>0.79165809925261765</v>
      </c>
      <c r="G510" s="390">
        <f t="shared" si="111"/>
        <v>0.75334184724879094</v>
      </c>
      <c r="H510" s="390">
        <f t="shared" si="112"/>
        <v>0.77094820371816586</v>
      </c>
      <c r="I510" s="43"/>
      <c r="J510" s="388">
        <f t="shared" si="113"/>
        <v>0.73240079353225751</v>
      </c>
      <c r="K510" s="388">
        <f t="shared" si="114"/>
        <v>0.80949561390407421</v>
      </c>
      <c r="L510" s="1316">
        <v>0.73240079353225751</v>
      </c>
      <c r="M510" s="61" t="b">
        <f t="shared" si="123"/>
        <v>1</v>
      </c>
      <c r="N510" s="857">
        <f t="shared" si="116"/>
        <v>0.73240079353225751</v>
      </c>
      <c r="P510" s="445">
        <f t="shared" si="122"/>
        <v>-3.3967180632145592E-2</v>
      </c>
      <c r="Q510" s="445">
        <f t="shared" si="124"/>
        <v>3.5146980911652609E-2</v>
      </c>
      <c r="R510" s="445">
        <f t="shared" si="124"/>
        <v>0</v>
      </c>
      <c r="S510" s="445">
        <f t="shared" si="124"/>
        <v>1.3240747089209115E-3</v>
      </c>
      <c r="T510" s="445">
        <f t="shared" si="124"/>
        <v>3.0665318917419984E-2</v>
      </c>
      <c r="U510" s="445">
        <f t="shared" si="124"/>
        <v>-4.0131885446942897E-3</v>
      </c>
      <c r="V510" s="445">
        <f t="shared" si="124"/>
        <v>-1.5098068422398061E-4</v>
      </c>
      <c r="W510" s="445">
        <f t="shared" si="124"/>
        <v>-1.2483455630897177E-2</v>
      </c>
      <c r="X510" s="445">
        <f t="shared" si="124"/>
        <v>9.8498753428172031E-4</v>
      </c>
      <c r="Y510" s="43"/>
      <c r="Z510" s="388">
        <f t="shared" si="118"/>
        <v>0.7499073501125717</v>
      </c>
      <c r="AA510" s="43"/>
      <c r="AB510" s="462">
        <f>IF('TAR_Tab 2_Volumina'!C513="storage",1,0)</f>
        <v>1</v>
      </c>
      <c r="AC510" s="389">
        <f t="shared" si="117"/>
        <v>0.56243051258442878</v>
      </c>
      <c r="AD510" s="389">
        <f t="shared" si="119"/>
        <v>0.56243051258442878</v>
      </c>
      <c r="AE510" s="43"/>
      <c r="AF510" s="1027">
        <f t="shared" si="120"/>
        <v>0.56243051258442878</v>
      </c>
      <c r="AG510" s="392">
        <f t="shared" si="121"/>
        <v>0.56200000000000006</v>
      </c>
      <c r="AH510" s="392">
        <f>AG510+'TAR_Tab 14_Overige tarieven'!$AA$14+'TAR_Tab 14_Overige tarieven'!$AA$15</f>
        <v>0.7420000000000001</v>
      </c>
      <c r="AI510" s="43"/>
    </row>
    <row r="511" spans="1:35">
      <c r="A511" s="96">
        <v>301418</v>
      </c>
      <c r="B511" s="1286" t="s">
        <v>195</v>
      </c>
      <c r="C511" s="1022"/>
      <c r="D511" s="1358"/>
      <c r="E511" s="1022"/>
      <c r="F511" s="1032">
        <v>1.702853062600107</v>
      </c>
      <c r="G511" s="390">
        <f t="shared" si="111"/>
        <v>1.620434974370262</v>
      </c>
      <c r="H511" s="390">
        <f t="shared" si="112"/>
        <v>1.6583061690986536</v>
      </c>
      <c r="I511" s="43"/>
      <c r="J511" s="388">
        <f t="shared" si="113"/>
        <v>1.5753908606437208</v>
      </c>
      <c r="K511" s="388">
        <f t="shared" si="114"/>
        <v>1.7412214775535864</v>
      </c>
      <c r="L511" s="1316">
        <v>1.6711270632393753</v>
      </c>
      <c r="M511" s="61" t="b">
        <f t="shared" si="123"/>
        <v>1</v>
      </c>
      <c r="N511" s="857">
        <f t="shared" si="116"/>
        <v>1.6711270632393753</v>
      </c>
      <c r="P511" s="445">
        <f t="shared" si="122"/>
        <v>-7.7503295077763712E-2</v>
      </c>
      <c r="Q511" s="445">
        <f t="shared" si="124"/>
        <v>8.0195258540545961E-2</v>
      </c>
      <c r="R511" s="445">
        <f t="shared" si="124"/>
        <v>0</v>
      </c>
      <c r="S511" s="445">
        <f t="shared" si="124"/>
        <v>3.021156038290227E-3</v>
      </c>
      <c r="T511" s="445">
        <f t="shared" si="124"/>
        <v>6.996940035880761E-2</v>
      </c>
      <c r="U511" s="445">
        <f t="shared" si="124"/>
        <v>-9.1569370843745425E-3</v>
      </c>
      <c r="V511" s="445">
        <f t="shared" si="124"/>
        <v>-3.4449431194121129E-4</v>
      </c>
      <c r="W511" s="445">
        <f t="shared" si="124"/>
        <v>-2.8483640012087769E-2</v>
      </c>
      <c r="X511" s="445">
        <f t="shared" si="124"/>
        <v>2.24745704814574E-3</v>
      </c>
      <c r="Y511" s="43"/>
      <c r="Z511" s="388">
        <f t="shared" si="118"/>
        <v>1.7110719687389977</v>
      </c>
      <c r="AA511" s="43"/>
      <c r="AB511" s="462">
        <f>IF('TAR_Tab 2_Volumina'!C514="storage",1,0)</f>
        <v>0</v>
      </c>
      <c r="AC511" s="389">
        <f t="shared" si="117"/>
        <v>1.7110719687389977</v>
      </c>
      <c r="AD511" s="389">
        <f t="shared" si="119"/>
        <v>1.8262119298271868</v>
      </c>
      <c r="AE511" s="43"/>
      <c r="AF511" s="1027">
        <f t="shared" si="120"/>
        <v>1.8262119298271868</v>
      </c>
      <c r="AG511" s="392">
        <f t="shared" si="121"/>
        <v>1.8260000000000001</v>
      </c>
      <c r="AH511" s="392">
        <f>AG511+'TAR_Tab 14_Overige tarieven'!$AA$14+'TAR_Tab 14_Overige tarieven'!$AA$15</f>
        <v>2.0060000000000002</v>
      </c>
      <c r="AI511" s="43"/>
    </row>
    <row r="512" spans="1:35">
      <c r="A512" s="96">
        <v>301420</v>
      </c>
      <c r="B512" s="1286" t="s">
        <v>196</v>
      </c>
      <c r="C512" s="1022"/>
      <c r="D512" s="1358"/>
      <c r="E512" s="1022"/>
      <c r="F512" s="1032">
        <v>1.7508489210879548</v>
      </c>
      <c r="G512" s="390">
        <f t="shared" si="111"/>
        <v>1.6661078333072978</v>
      </c>
      <c r="H512" s="390">
        <f t="shared" si="112"/>
        <v>1.7050464486739529</v>
      </c>
      <c r="I512" s="43"/>
      <c r="J512" s="388">
        <f t="shared" si="113"/>
        <v>1.6197941262402553</v>
      </c>
      <c r="K512" s="388">
        <f t="shared" si="114"/>
        <v>1.7902987711076506</v>
      </c>
      <c r="L512" s="1316">
        <v>1.718228706830385</v>
      </c>
      <c r="M512" s="61" t="b">
        <f t="shared" si="123"/>
        <v>1</v>
      </c>
      <c r="N512" s="857">
        <f t="shared" si="116"/>
        <v>1.718228706830385</v>
      </c>
      <c r="P512" s="445">
        <f t="shared" si="122"/>
        <v>-7.9687768456350103E-2</v>
      </c>
      <c r="Q512" s="445">
        <f t="shared" si="124"/>
        <v>8.2455606403109782E-2</v>
      </c>
      <c r="R512" s="445">
        <f t="shared" si="124"/>
        <v>0</v>
      </c>
      <c r="S512" s="445">
        <f t="shared" si="124"/>
        <v>3.1063089976783244E-3</v>
      </c>
      <c r="T512" s="445">
        <f t="shared" si="124"/>
        <v>7.1941526734158601E-2</v>
      </c>
      <c r="U512" s="445">
        <f t="shared" si="124"/>
        <v>-9.4150304373105224E-3</v>
      </c>
      <c r="V512" s="445">
        <f t="shared" si="124"/>
        <v>-3.5420407528424005E-4</v>
      </c>
      <c r="W512" s="445">
        <f t="shared" si="124"/>
        <v>-2.9286467211488948E-2</v>
      </c>
      <c r="X512" s="445">
        <f t="shared" si="124"/>
        <v>2.3108028721686375E-3</v>
      </c>
      <c r="Y512" s="43"/>
      <c r="Z512" s="388">
        <f t="shared" si="118"/>
        <v>1.7592994816570664</v>
      </c>
      <c r="AA512" s="43"/>
      <c r="AB512" s="462">
        <f>IF('TAR_Tab 2_Volumina'!C515="storage",1,0)</f>
        <v>0</v>
      </c>
      <c r="AC512" s="389">
        <f t="shared" si="117"/>
        <v>1.7592994816570664</v>
      </c>
      <c r="AD512" s="389">
        <f t="shared" si="119"/>
        <v>1.8776847264400489</v>
      </c>
      <c r="AE512" s="43"/>
      <c r="AF512" s="1027">
        <f t="shared" si="120"/>
        <v>1.8776847264400489</v>
      </c>
      <c r="AG512" s="392">
        <f t="shared" si="121"/>
        <v>1.8779999999999999</v>
      </c>
      <c r="AH512" s="392">
        <f>AG512+'TAR_Tab 14_Overige tarieven'!$AA$14+'TAR_Tab 14_Overige tarieven'!$AA$15</f>
        <v>2.0579999999999998</v>
      </c>
      <c r="AI512" s="43"/>
    </row>
    <row r="513" spans="1:35">
      <c r="A513" s="96">
        <v>301421</v>
      </c>
      <c r="B513" s="1286" t="s">
        <v>197</v>
      </c>
      <c r="C513" s="1022"/>
      <c r="D513" s="1358"/>
      <c r="E513" s="1022"/>
      <c r="F513" s="1032">
        <v>1.7508489210879548</v>
      </c>
      <c r="G513" s="390">
        <f t="shared" si="111"/>
        <v>1.6661078333072978</v>
      </c>
      <c r="H513" s="390">
        <f t="shared" si="112"/>
        <v>1.7050464486739529</v>
      </c>
      <c r="I513" s="43"/>
      <c r="J513" s="388">
        <f t="shared" si="113"/>
        <v>1.6197941262402553</v>
      </c>
      <c r="K513" s="388">
        <f t="shared" si="114"/>
        <v>1.7902987711076506</v>
      </c>
      <c r="L513" s="1316">
        <v>1.718228706830385</v>
      </c>
      <c r="M513" s="61" t="b">
        <f t="shared" si="123"/>
        <v>1</v>
      </c>
      <c r="N513" s="857">
        <f t="shared" si="116"/>
        <v>1.718228706830385</v>
      </c>
      <c r="P513" s="445">
        <f t="shared" si="122"/>
        <v>-7.9687768456350103E-2</v>
      </c>
      <c r="Q513" s="445">
        <f t="shared" si="124"/>
        <v>8.2455606403109782E-2</v>
      </c>
      <c r="R513" s="445">
        <f t="shared" si="124"/>
        <v>0</v>
      </c>
      <c r="S513" s="445">
        <f t="shared" si="124"/>
        <v>3.1063089976783244E-3</v>
      </c>
      <c r="T513" s="445">
        <f t="shared" si="124"/>
        <v>7.1941526734158601E-2</v>
      </c>
      <c r="U513" s="445">
        <f t="shared" si="124"/>
        <v>-9.4150304373105224E-3</v>
      </c>
      <c r="V513" s="445">
        <f t="shared" si="124"/>
        <v>-3.5420407528424005E-4</v>
      </c>
      <c r="W513" s="445">
        <f t="shared" si="124"/>
        <v>-2.9286467211488948E-2</v>
      </c>
      <c r="X513" s="445">
        <f t="shared" si="124"/>
        <v>2.3108028721686375E-3</v>
      </c>
      <c r="Y513" s="43"/>
      <c r="Z513" s="388">
        <f t="shared" si="118"/>
        <v>1.7592994816570664</v>
      </c>
      <c r="AA513" s="43"/>
      <c r="AB513" s="462">
        <f>IF('TAR_Tab 2_Volumina'!C516="storage",1,0)</f>
        <v>0</v>
      </c>
      <c r="AC513" s="389">
        <f t="shared" si="117"/>
        <v>1.7592994816570664</v>
      </c>
      <c r="AD513" s="389">
        <f t="shared" si="119"/>
        <v>1.8776847264400489</v>
      </c>
      <c r="AE513" s="43"/>
      <c r="AF513" s="1027">
        <f t="shared" si="120"/>
        <v>1.8776847264400489</v>
      </c>
      <c r="AG513" s="392">
        <f t="shared" si="121"/>
        <v>1.8779999999999999</v>
      </c>
      <c r="AH513" s="392">
        <f>AG513+'TAR_Tab 14_Overige tarieven'!$AA$14+'TAR_Tab 14_Overige tarieven'!$AA$15</f>
        <v>2.0579999999999998</v>
      </c>
      <c r="AI513" s="43"/>
    </row>
    <row r="514" spans="1:35">
      <c r="A514" s="96">
        <v>301427</v>
      </c>
      <c r="B514" s="1286" t="s">
        <v>198</v>
      </c>
      <c r="C514" s="1022"/>
      <c r="D514" s="1358"/>
      <c r="E514" s="1022"/>
      <c r="F514" s="1032">
        <v>1.2453120226023675</v>
      </c>
      <c r="G514" s="390">
        <f t="shared" si="111"/>
        <v>1.1850389207084129</v>
      </c>
      <c r="H514" s="390">
        <f t="shared" si="112"/>
        <v>1.2127344718639366</v>
      </c>
      <c r="I514" s="43"/>
      <c r="J514" s="388">
        <f t="shared" si="113"/>
        <v>1.1520977482707397</v>
      </c>
      <c r="K514" s="388">
        <f t="shared" si="114"/>
        <v>1.2733711954571334</v>
      </c>
      <c r="L514" s="1316">
        <v>1.2221105090362656</v>
      </c>
      <c r="M514" s="61" t="b">
        <f t="shared" si="123"/>
        <v>1</v>
      </c>
      <c r="N514" s="857">
        <f t="shared" si="116"/>
        <v>1.2221105090362656</v>
      </c>
      <c r="P514" s="445">
        <f t="shared" si="122"/>
        <v>-5.6678868700665748E-2</v>
      </c>
      <c r="Q514" s="445">
        <f t="shared" si="124"/>
        <v>5.8647526207432847E-2</v>
      </c>
      <c r="R514" s="445">
        <f t="shared" si="124"/>
        <v>0</v>
      </c>
      <c r="S514" s="445">
        <f t="shared" si="124"/>
        <v>2.2093990487328857E-3</v>
      </c>
      <c r="T514" s="445">
        <f t="shared" si="124"/>
        <v>5.1169262571637245E-2</v>
      </c>
      <c r="U514" s="445">
        <f t="shared" si="124"/>
        <v>-6.6965518586632094E-3</v>
      </c>
      <c r="V514" s="445">
        <f t="shared" si="124"/>
        <v>-2.5193184180170598E-4</v>
      </c>
      <c r="W514" s="445">
        <f t="shared" si="124"/>
        <v>-2.0830346512910287E-2</v>
      </c>
      <c r="X514" s="445">
        <f t="shared" si="124"/>
        <v>1.6435858993404974E-3</v>
      </c>
      <c r="Y514" s="43"/>
      <c r="Z514" s="388">
        <f t="shared" si="118"/>
        <v>1.2513225838493682</v>
      </c>
      <c r="AA514" s="43"/>
      <c r="AB514" s="462">
        <f>IF('TAR_Tab 2_Volumina'!C517="storage",1,0)</f>
        <v>0</v>
      </c>
      <c r="AC514" s="389">
        <f t="shared" si="117"/>
        <v>1.2513225838493682</v>
      </c>
      <c r="AD514" s="389">
        <f t="shared" si="119"/>
        <v>1.3355254907086096</v>
      </c>
      <c r="AE514" s="43"/>
      <c r="AF514" s="1027">
        <f t="shared" si="120"/>
        <v>1.3355254907086096</v>
      </c>
      <c r="AG514" s="392">
        <f t="shared" si="121"/>
        <v>1.3360000000000001</v>
      </c>
      <c r="AH514" s="392">
        <f>AG514+'TAR_Tab 14_Overige tarieven'!$AA$14+'TAR_Tab 14_Overige tarieven'!$AA$15</f>
        <v>1.516</v>
      </c>
      <c r="AI514" s="43"/>
    </row>
    <row r="515" spans="1:35">
      <c r="A515" s="96">
        <v>301429</v>
      </c>
      <c r="B515" s="1286" t="s">
        <v>175</v>
      </c>
      <c r="C515" s="1022"/>
      <c r="D515" s="1358"/>
      <c r="E515" s="1022"/>
      <c r="F515" s="1032">
        <v>1.724200304464911</v>
      </c>
      <c r="G515" s="390">
        <f t="shared" si="111"/>
        <v>1.6407490097288093</v>
      </c>
      <c r="H515" s="390">
        <f t="shared" si="112"/>
        <v>1.6790949638896688</v>
      </c>
      <c r="I515" s="43"/>
      <c r="J515" s="388">
        <f t="shared" si="113"/>
        <v>1.5951402156951853</v>
      </c>
      <c r="K515" s="388">
        <f t="shared" si="114"/>
        <v>1.7630497120841524</v>
      </c>
      <c r="L515" s="1316">
        <v>1.6920765828363977</v>
      </c>
      <c r="M515" s="61" t="b">
        <f t="shared" si="123"/>
        <v>1</v>
      </c>
      <c r="N515" s="857">
        <f t="shared" si="116"/>
        <v>1.6920765828363977</v>
      </c>
      <c r="P515" s="445">
        <f t="shared" si="122"/>
        <v>-7.8474888940840801E-2</v>
      </c>
      <c r="Q515" s="445">
        <f t="shared" si="124"/>
        <v>8.1200599293706141E-2</v>
      </c>
      <c r="R515" s="445">
        <f t="shared" si="124"/>
        <v>0</v>
      </c>
      <c r="S515" s="445">
        <f t="shared" si="124"/>
        <v>3.059029739830992E-3</v>
      </c>
      <c r="T515" s="445">
        <f t="shared" si="124"/>
        <v>7.0846548097153336E-2</v>
      </c>
      <c r="U515" s="445">
        <f t="shared" si="124"/>
        <v>-9.2717299311410525E-3</v>
      </c>
      <c r="V515" s="445">
        <f t="shared" si="124"/>
        <v>-3.4881294844577813E-4</v>
      </c>
      <c r="W515" s="445">
        <f t="shared" si="124"/>
        <v>-2.8840715537793795E-2</v>
      </c>
      <c r="X515" s="445">
        <f t="shared" si="124"/>
        <v>2.2756315338023406E-3</v>
      </c>
      <c r="Y515" s="43"/>
      <c r="Z515" s="388">
        <f t="shared" si="118"/>
        <v>1.7325222441426691</v>
      </c>
      <c r="AA515" s="43"/>
      <c r="AB515" s="462">
        <f>IF('TAR_Tab 2_Volumina'!C518="storage",1,0)</f>
        <v>0</v>
      </c>
      <c r="AC515" s="389">
        <f t="shared" si="117"/>
        <v>1.7325222441426691</v>
      </c>
      <c r="AD515" s="389">
        <f t="shared" si="119"/>
        <v>1.8491056184363996</v>
      </c>
      <c r="AE515" s="43"/>
      <c r="AF515" s="1027">
        <f t="shared" si="120"/>
        <v>1.8491056184363996</v>
      </c>
      <c r="AG515" s="392">
        <f t="shared" si="121"/>
        <v>1.849</v>
      </c>
      <c r="AH515" s="392">
        <f>AG515+'TAR_Tab 14_Overige tarieven'!$AA$14+'TAR_Tab 14_Overige tarieven'!$AA$15</f>
        <v>2.0289999999999999</v>
      </c>
      <c r="AI515" s="43"/>
    </row>
    <row r="516" spans="1:35">
      <c r="A516" s="96">
        <v>301431</v>
      </c>
      <c r="B516" s="1286" t="s">
        <v>199</v>
      </c>
      <c r="C516" s="1022"/>
      <c r="D516" s="1358"/>
      <c r="E516" s="1022"/>
      <c r="F516" s="1032">
        <v>1.3273203753103338</v>
      </c>
      <c r="G516" s="390">
        <f t="shared" ref="G516:G557" si="125">F516*$G$5</f>
        <v>1.2630780691453136</v>
      </c>
      <c r="H516" s="390">
        <f t="shared" ref="H516:H557" si="126">G516*$H$5</f>
        <v>1.292597473669616</v>
      </c>
      <c r="I516" s="43"/>
      <c r="J516" s="388">
        <f t="shared" ref="J516:J557" si="127">H516*$J$5</f>
        <v>1.227967599986135</v>
      </c>
      <c r="K516" s="388">
        <f t="shared" ref="K516:K557" si="128">H516*$K$5</f>
        <v>1.3572273473530969</v>
      </c>
      <c r="L516" s="1316">
        <v>1.302590957192318</v>
      </c>
      <c r="M516" s="61" t="b">
        <f t="shared" si="123"/>
        <v>1</v>
      </c>
      <c r="N516" s="857">
        <f t="shared" si="116"/>
        <v>1.302590957192318</v>
      </c>
      <c r="P516" s="445">
        <f t="shared" si="122"/>
        <v>-6.041137956631961E-2</v>
      </c>
      <c r="Q516" s="445">
        <f t="shared" si="124"/>
        <v>6.2509680372312845E-2</v>
      </c>
      <c r="R516" s="445">
        <f t="shared" si="124"/>
        <v>0</v>
      </c>
      <c r="S516" s="445">
        <f t="shared" si="124"/>
        <v>2.3548960592592078E-3</v>
      </c>
      <c r="T516" s="445">
        <f t="shared" si="124"/>
        <v>5.4538945716598959E-2</v>
      </c>
      <c r="U516" s="445">
        <f t="shared" si="124"/>
        <v>-7.1375442981361833E-3</v>
      </c>
      <c r="V516" s="445">
        <f t="shared" si="124"/>
        <v>-2.6852247528620974E-4</v>
      </c>
      <c r="W516" s="445">
        <f t="shared" si="124"/>
        <v>-2.2202101039370328E-2</v>
      </c>
      <c r="X516" s="445">
        <f t="shared" si="124"/>
        <v>1.7518220439312207E-3</v>
      </c>
      <c r="Y516" s="43"/>
      <c r="Z516" s="388">
        <f t="shared" si="118"/>
        <v>1.3337267540053079</v>
      </c>
      <c r="AA516" s="43"/>
      <c r="AB516" s="462">
        <f>IF('TAR_Tab 2_Volumina'!C519="storage",1,0)</f>
        <v>0</v>
      </c>
      <c r="AC516" s="389">
        <f t="shared" si="117"/>
        <v>1.3337267540053079</v>
      </c>
      <c r="AD516" s="389">
        <f t="shared" si="119"/>
        <v>1.4234747303406461</v>
      </c>
      <c r="AE516" s="43"/>
      <c r="AF516" s="1027">
        <f t="shared" si="120"/>
        <v>1.4234747303406461</v>
      </c>
      <c r="AG516" s="392">
        <f t="shared" si="121"/>
        <v>1.423</v>
      </c>
      <c r="AH516" s="392">
        <f>AG516+'TAR_Tab 14_Overige tarieven'!$AA$14+'TAR_Tab 14_Overige tarieven'!$AA$15</f>
        <v>1.603</v>
      </c>
      <c r="AI516" s="43"/>
    </row>
    <row r="517" spans="1:35">
      <c r="A517" s="96">
        <v>301432</v>
      </c>
      <c r="B517" s="1286" t="s">
        <v>537</v>
      </c>
      <c r="C517" s="1022"/>
      <c r="D517" s="1358"/>
      <c r="E517" s="1022"/>
      <c r="F517" s="1032">
        <v>2.1818117337600897</v>
      </c>
      <c r="G517" s="390">
        <f t="shared" si="125"/>
        <v>2.0762120458461015</v>
      </c>
      <c r="H517" s="390">
        <f t="shared" si="126"/>
        <v>2.1247352090271647</v>
      </c>
      <c r="I517" s="43"/>
      <c r="J517" s="388">
        <f t="shared" si="127"/>
        <v>2.0184984485758064</v>
      </c>
      <c r="K517" s="388">
        <f t="shared" si="128"/>
        <v>2.2309719694785231</v>
      </c>
      <c r="L517" s="1316">
        <v>2.1411622149079954</v>
      </c>
      <c r="M517" s="61" t="b">
        <f t="shared" si="123"/>
        <v>1</v>
      </c>
      <c r="N517" s="857">
        <f t="shared" si="116"/>
        <v>2.1411622149079954</v>
      </c>
      <c r="P517" s="445">
        <f t="shared" si="122"/>
        <v>-9.9302519001573913E-2</v>
      </c>
      <c r="Q517" s="445">
        <f t="shared" si="124"/>
        <v>0.10275164658571417</v>
      </c>
      <c r="R517" s="445">
        <f t="shared" si="124"/>
        <v>0</v>
      </c>
      <c r="S517" s="445">
        <f t="shared" si="124"/>
        <v>3.870911612183954E-3</v>
      </c>
      <c r="T517" s="445">
        <f t="shared" si="124"/>
        <v>8.9649578146164519E-2</v>
      </c>
      <c r="U517" s="445">
        <f t="shared" si="124"/>
        <v>-1.173249366888153E-2</v>
      </c>
      <c r="V517" s="445">
        <f t="shared" si="124"/>
        <v>-4.4138965863518663E-4</v>
      </c>
      <c r="W517" s="445">
        <f t="shared" si="124"/>
        <v>-3.6495186439445389E-2</v>
      </c>
      <c r="X517" s="445">
        <f t="shared" si="124"/>
        <v>2.8795955837075766E-3</v>
      </c>
      <c r="Y517" s="43"/>
      <c r="Z517" s="388">
        <f t="shared" si="118"/>
        <v>2.1923423580672297</v>
      </c>
      <c r="AA517" s="43"/>
      <c r="AB517" s="462">
        <f>IF('TAR_Tab 2_Volumina'!C520="storage",1,0)</f>
        <v>0</v>
      </c>
      <c r="AC517" s="389">
        <f t="shared" si="117"/>
        <v>2.1923423580672297</v>
      </c>
      <c r="AD517" s="389">
        <f t="shared" si="119"/>
        <v>2.3398675460263774</v>
      </c>
      <c r="AE517" s="43"/>
      <c r="AF517" s="1027">
        <f t="shared" si="120"/>
        <v>2.3398675460263774</v>
      </c>
      <c r="AG517" s="392">
        <f t="shared" si="121"/>
        <v>2.34</v>
      </c>
      <c r="AH517" s="392">
        <f>AG517+'TAR_Tab 14_Overige tarieven'!$AA$14+'TAR_Tab 14_Overige tarieven'!$AA$15</f>
        <v>2.52</v>
      </c>
      <c r="AI517" s="43"/>
    </row>
    <row r="518" spans="1:35">
      <c r="A518" s="96">
        <v>301433</v>
      </c>
      <c r="B518" s="1286" t="s">
        <v>538</v>
      </c>
      <c r="C518" s="1022"/>
      <c r="D518" s="1358"/>
      <c r="E518" s="1022"/>
      <c r="F518" s="1032">
        <v>1.7508489210879548</v>
      </c>
      <c r="G518" s="390">
        <f t="shared" si="125"/>
        <v>1.6661078333072978</v>
      </c>
      <c r="H518" s="390">
        <f t="shared" si="126"/>
        <v>1.7050464486739529</v>
      </c>
      <c r="I518" s="43"/>
      <c r="J518" s="388">
        <f t="shared" si="127"/>
        <v>1.6197941262402553</v>
      </c>
      <c r="K518" s="388">
        <f t="shared" si="128"/>
        <v>1.7902987711076506</v>
      </c>
      <c r="L518" s="1316">
        <v>1.718228706830385</v>
      </c>
      <c r="M518" s="61" t="b">
        <f t="shared" si="123"/>
        <v>1</v>
      </c>
      <c r="N518" s="857">
        <f t="shared" si="116"/>
        <v>1.718228706830385</v>
      </c>
      <c r="P518" s="445">
        <f t="shared" si="122"/>
        <v>-7.9687768456350103E-2</v>
      </c>
      <c r="Q518" s="445">
        <f t="shared" si="124"/>
        <v>8.2455606403109782E-2</v>
      </c>
      <c r="R518" s="445">
        <f t="shared" si="124"/>
        <v>0</v>
      </c>
      <c r="S518" s="445">
        <f t="shared" si="124"/>
        <v>3.1063089976783244E-3</v>
      </c>
      <c r="T518" s="445">
        <f t="shared" si="124"/>
        <v>7.1941526734158601E-2</v>
      </c>
      <c r="U518" s="445">
        <f t="shared" si="124"/>
        <v>-9.4150304373105224E-3</v>
      </c>
      <c r="V518" s="445">
        <f t="shared" si="124"/>
        <v>-3.5420407528424005E-4</v>
      </c>
      <c r="W518" s="445">
        <f t="shared" si="124"/>
        <v>-2.9286467211488948E-2</v>
      </c>
      <c r="X518" s="445">
        <f t="shared" si="124"/>
        <v>2.3108028721686375E-3</v>
      </c>
      <c r="Y518" s="43"/>
      <c r="Z518" s="388">
        <f t="shared" si="118"/>
        <v>1.7592994816570664</v>
      </c>
      <c r="AA518" s="43"/>
      <c r="AB518" s="462">
        <f>IF('TAR_Tab 2_Volumina'!C521="storage",1,0)</f>
        <v>0</v>
      </c>
      <c r="AC518" s="389">
        <f t="shared" si="117"/>
        <v>1.7592994816570664</v>
      </c>
      <c r="AD518" s="389">
        <f t="shared" si="119"/>
        <v>1.8776847264400489</v>
      </c>
      <c r="AE518" s="43"/>
      <c r="AF518" s="1027">
        <f t="shared" si="120"/>
        <v>1.8776847264400489</v>
      </c>
      <c r="AG518" s="392">
        <f t="shared" si="121"/>
        <v>1.8779999999999999</v>
      </c>
      <c r="AH518" s="392">
        <f>AG518+'TAR_Tab 14_Overige tarieven'!$AA$14+'TAR_Tab 14_Overige tarieven'!$AA$15</f>
        <v>2.0579999999999998</v>
      </c>
      <c r="AI518" s="43"/>
    </row>
    <row r="519" spans="1:35">
      <c r="A519" s="96">
        <v>301434</v>
      </c>
      <c r="B519" s="1286" t="s">
        <v>333</v>
      </c>
      <c r="C519" s="1022"/>
      <c r="D519" s="1358"/>
      <c r="E519" s="1022"/>
      <c r="F519" s="1032">
        <v>1.8495285356595699</v>
      </c>
      <c r="G519" s="390">
        <f t="shared" si="125"/>
        <v>1.7600113545336467</v>
      </c>
      <c r="H519" s="390">
        <f t="shared" si="126"/>
        <v>1.8011445896130902</v>
      </c>
      <c r="I519" s="43"/>
      <c r="J519" s="388">
        <f t="shared" si="127"/>
        <v>1.7110873601324357</v>
      </c>
      <c r="K519" s="388">
        <f t="shared" si="128"/>
        <v>1.8912018190937447</v>
      </c>
      <c r="L519" s="1316">
        <v>1.8150698131609919</v>
      </c>
      <c r="M519" s="61" t="b">
        <f t="shared" si="123"/>
        <v>1</v>
      </c>
      <c r="N519" s="857">
        <f t="shared" ref="N519:N557" si="129">IF(L519&gt;0,L519,H519)</f>
        <v>1.8150698131609919</v>
      </c>
      <c r="P519" s="445">
        <f t="shared" si="122"/>
        <v>-8.4179051617697009E-2</v>
      </c>
      <c r="Q519" s="445">
        <f t="shared" si="124"/>
        <v>8.7102887708267532E-2</v>
      </c>
      <c r="R519" s="445">
        <f t="shared" si="124"/>
        <v>0</v>
      </c>
      <c r="S519" s="445">
        <f t="shared" si="124"/>
        <v>3.2813837119722131E-3</v>
      </c>
      <c r="T519" s="445">
        <f t="shared" si="124"/>
        <v>7.5996223883818437E-2</v>
      </c>
      <c r="U519" s="445">
        <f t="shared" si="124"/>
        <v>-9.9456710674321186E-3</v>
      </c>
      <c r="V519" s="445">
        <f t="shared" si="124"/>
        <v>-3.741673749200676E-4</v>
      </c>
      <c r="W519" s="445">
        <f t="shared" si="124"/>
        <v>-3.0937082099950126E-2</v>
      </c>
      <c r="X519" s="445">
        <f t="shared" si="124"/>
        <v>2.4410420573034051E-3</v>
      </c>
      <c r="Y519" s="43"/>
      <c r="Z519" s="388">
        <f t="shared" si="118"/>
        <v>1.8584553783623541</v>
      </c>
      <c r="AA519" s="43"/>
      <c r="AB519" s="462">
        <f>IF('TAR_Tab 2_Volumina'!C522="storage",1,0)</f>
        <v>0</v>
      </c>
      <c r="AC519" s="389">
        <f t="shared" ref="AC519:AC557" si="130">IF(AB519=1,Z519*$AC$5,Z519)</f>
        <v>1.8584553783623541</v>
      </c>
      <c r="AD519" s="389">
        <f t="shared" si="119"/>
        <v>1.9835129351794849</v>
      </c>
      <c r="AE519" s="43"/>
      <c r="AF519" s="1027">
        <f t="shared" si="120"/>
        <v>1.9835129351794849</v>
      </c>
      <c r="AG519" s="392">
        <f t="shared" si="121"/>
        <v>1.984</v>
      </c>
      <c r="AH519" s="392">
        <f>AG519+'TAR_Tab 14_Overige tarieven'!$AA$14+'TAR_Tab 14_Overige tarieven'!$AA$15</f>
        <v>2.1640000000000001</v>
      </c>
      <c r="AI519" s="43"/>
    </row>
    <row r="520" spans="1:35">
      <c r="A520" s="96">
        <v>301435</v>
      </c>
      <c r="B520" s="1286" t="s">
        <v>539</v>
      </c>
      <c r="C520" s="1022"/>
      <c r="D520" s="1358"/>
      <c r="E520" s="1022"/>
      <c r="F520" s="1032">
        <v>2.1198170832132859</v>
      </c>
      <c r="G520" s="390">
        <f t="shared" si="125"/>
        <v>2.0172179363857627</v>
      </c>
      <c r="H520" s="390">
        <f t="shared" si="126"/>
        <v>2.0643623479090687</v>
      </c>
      <c r="I520" s="43"/>
      <c r="J520" s="388">
        <f t="shared" si="127"/>
        <v>1.9611442305136151</v>
      </c>
      <c r="K520" s="388">
        <f t="shared" si="128"/>
        <v>2.1675804653045221</v>
      </c>
      <c r="L520" s="1316">
        <v>2.0803225919362736</v>
      </c>
      <c r="M520" s="61" t="b">
        <f t="shared" si="123"/>
        <v>1</v>
      </c>
      <c r="N520" s="857">
        <f t="shared" si="129"/>
        <v>2.0803225919362736</v>
      </c>
      <c r="P520" s="445">
        <f t="shared" si="122"/>
        <v>-9.6480907554233108E-2</v>
      </c>
      <c r="Q520" s="445">
        <f t="shared" si="124"/>
        <v>9.9832030596569199E-2</v>
      </c>
      <c r="R520" s="445">
        <f t="shared" si="124"/>
        <v>0</v>
      </c>
      <c r="S520" s="445">
        <f t="shared" si="124"/>
        <v>3.7609223729743266E-3</v>
      </c>
      <c r="T520" s="445">
        <f t="shared" si="124"/>
        <v>8.7102248244669445E-2</v>
      </c>
      <c r="U520" s="445">
        <f t="shared" si="124"/>
        <v>-1.1399123088005883E-2</v>
      </c>
      <c r="V520" s="445">
        <f t="shared" si="124"/>
        <v>-4.2884788098377426E-4</v>
      </c>
      <c r="W520" s="445">
        <f t="shared" si="124"/>
        <v>-3.5458201306885519E-2</v>
      </c>
      <c r="X520" s="445">
        <f t="shared" si="124"/>
        <v>2.797773894344666E-3</v>
      </c>
      <c r="Y520" s="43"/>
      <c r="Z520" s="388">
        <f t="shared" ref="Z520:Z557" si="131">N520+SUM(P520:X520)</f>
        <v>2.1300484872147227</v>
      </c>
      <c r="AA520" s="43"/>
      <c r="AB520" s="462">
        <f>IF('TAR_Tab 2_Volumina'!C523="storage",1,0)</f>
        <v>0</v>
      </c>
      <c r="AC520" s="389">
        <f t="shared" si="130"/>
        <v>2.1300484872147227</v>
      </c>
      <c r="AD520" s="389">
        <f t="shared" ref="AD520:AD557" si="132">IF(AB520=0,AC520*(1+$AD$5),AC520)</f>
        <v>2.2733818504014289</v>
      </c>
      <c r="AE520" s="43"/>
      <c r="AF520" s="1027">
        <f t="shared" ref="AF520:AF557" si="133">AD520</f>
        <v>2.2733818504014289</v>
      </c>
      <c r="AG520" s="392">
        <f t="shared" ref="AG520:AG557" si="134">ROUND(AD520,3)</f>
        <v>2.2730000000000001</v>
      </c>
      <c r="AH520" s="392">
        <f>AG520+'TAR_Tab 14_Overige tarieven'!$AA$14+'TAR_Tab 14_Overige tarieven'!$AA$15</f>
        <v>2.4530000000000003</v>
      </c>
      <c r="AI520" s="43"/>
    </row>
    <row r="521" spans="1:35">
      <c r="A521" s="96">
        <v>301436</v>
      </c>
      <c r="B521" s="1286" t="s">
        <v>540</v>
      </c>
      <c r="C521" s="1022"/>
      <c r="D521" s="1358"/>
      <c r="E521" s="1022"/>
      <c r="F521" s="1032">
        <v>2.0728211384439348</v>
      </c>
      <c r="G521" s="390">
        <f t="shared" si="125"/>
        <v>1.9724965953432483</v>
      </c>
      <c r="H521" s="390">
        <f t="shared" si="126"/>
        <v>2.0185958241582549</v>
      </c>
      <c r="I521" s="43"/>
      <c r="J521" s="388">
        <f t="shared" si="127"/>
        <v>1.9176660329503421</v>
      </c>
      <c r="K521" s="388">
        <f t="shared" si="128"/>
        <v>2.1195256153661677</v>
      </c>
      <c r="L521" s="1316">
        <v>2.0342022325867437</v>
      </c>
      <c r="M521" s="61" t="b">
        <f t="shared" si="123"/>
        <v>1</v>
      </c>
      <c r="N521" s="857">
        <f t="shared" si="129"/>
        <v>2.0342022325867437</v>
      </c>
      <c r="P521" s="445">
        <f t="shared" si="122"/>
        <v>-9.4341944037700617E-2</v>
      </c>
      <c r="Q521" s="445">
        <f t="shared" si="124"/>
        <v>9.7618773314475479E-2</v>
      </c>
      <c r="R521" s="445">
        <f t="shared" si="124"/>
        <v>0</v>
      </c>
      <c r="S521" s="445">
        <f t="shared" si="124"/>
        <v>3.6775434335734819E-3</v>
      </c>
      <c r="T521" s="445">
        <f t="shared" si="124"/>
        <v>8.5171207835471607E-2</v>
      </c>
      <c r="U521" s="445">
        <f t="shared" si="124"/>
        <v>-1.1146406679922739E-2</v>
      </c>
      <c r="V521" s="445">
        <f t="shared" si="124"/>
        <v>-4.1934040437705867E-4</v>
      </c>
      <c r="W521" s="445">
        <f t="shared" si="124"/>
        <v>-3.4672099674138541E-2</v>
      </c>
      <c r="X521" s="445">
        <f t="shared" si="124"/>
        <v>2.7357477749889126E-3</v>
      </c>
      <c r="Y521" s="43"/>
      <c r="Z521" s="388">
        <f t="shared" si="131"/>
        <v>2.0828257141491142</v>
      </c>
      <c r="AA521" s="43"/>
      <c r="AB521" s="462">
        <f>IF('TAR_Tab 2_Volumina'!C524="storage",1,0)</f>
        <v>0</v>
      </c>
      <c r="AC521" s="389">
        <f t="shared" si="130"/>
        <v>2.0828257141491142</v>
      </c>
      <c r="AD521" s="389">
        <f t="shared" si="132"/>
        <v>2.222981403718002</v>
      </c>
      <c r="AE521" s="43"/>
      <c r="AF521" s="1027">
        <f t="shared" si="133"/>
        <v>2.222981403718002</v>
      </c>
      <c r="AG521" s="392">
        <f t="shared" si="134"/>
        <v>2.2229999999999999</v>
      </c>
      <c r="AH521" s="392">
        <f>AG521+'TAR_Tab 14_Overige tarieven'!$AA$14+'TAR_Tab 14_Overige tarieven'!$AA$15</f>
        <v>2.403</v>
      </c>
      <c r="AI521" s="43"/>
    </row>
    <row r="522" spans="1:35">
      <c r="A522" s="96">
        <v>301437</v>
      </c>
      <c r="B522" s="1286" t="s">
        <v>541</v>
      </c>
      <c r="C522" s="1022"/>
      <c r="D522" s="1358"/>
      <c r="E522" s="1022"/>
      <c r="F522" s="1032">
        <v>2.0095596732260468</v>
      </c>
      <c r="G522" s="390">
        <f t="shared" si="125"/>
        <v>1.912296985041906</v>
      </c>
      <c r="H522" s="390">
        <f t="shared" si="126"/>
        <v>1.9569892884323477</v>
      </c>
      <c r="I522" s="43"/>
      <c r="J522" s="388">
        <f t="shared" si="127"/>
        <v>1.8591398240107302</v>
      </c>
      <c r="K522" s="388">
        <f t="shared" si="128"/>
        <v>2.0548387528539651</v>
      </c>
      <c r="L522" s="1316">
        <v>1.9721193970751654</v>
      </c>
      <c r="M522" s="61" t="b">
        <f t="shared" si="123"/>
        <v>1</v>
      </c>
      <c r="N522" s="857">
        <f t="shared" si="129"/>
        <v>1.9721193970751654</v>
      </c>
      <c r="P522" s="445">
        <f t="shared" ref="P522:P557" si="135">$N522*P$5</f>
        <v>-9.1462675054652082E-2</v>
      </c>
      <c r="Q522" s="445">
        <f t="shared" si="124"/>
        <v>9.4639497139550624E-2</v>
      </c>
      <c r="R522" s="445">
        <f t="shared" si="124"/>
        <v>0</v>
      </c>
      <c r="S522" s="445">
        <f t="shared" si="124"/>
        <v>3.5653066458953466E-3</v>
      </c>
      <c r="T522" s="445">
        <f t="shared" si="124"/>
        <v>8.2571825138084587E-2</v>
      </c>
      <c r="U522" s="445">
        <f t="shared" si="124"/>
        <v>-1.0806223918656748E-2</v>
      </c>
      <c r="V522" s="445">
        <f t="shared" si="124"/>
        <v>-4.0654234480793001E-4</v>
      </c>
      <c r="W522" s="445">
        <f t="shared" si="124"/>
        <v>-3.361392452005204E-2</v>
      </c>
      <c r="X522" s="445">
        <f t="shared" si="124"/>
        <v>2.6522541201324697E-3</v>
      </c>
      <c r="Y522" s="43"/>
      <c r="Z522" s="388">
        <f t="shared" si="131"/>
        <v>2.0192589142806594</v>
      </c>
      <c r="AA522" s="43"/>
      <c r="AB522" s="462">
        <f>IF('TAR_Tab 2_Volumina'!C525="storage",1,0)</f>
        <v>0</v>
      </c>
      <c r="AC522" s="389">
        <f t="shared" si="130"/>
        <v>2.0192589142806594</v>
      </c>
      <c r="AD522" s="389">
        <f t="shared" si="132"/>
        <v>2.1551371222490809</v>
      </c>
      <c r="AE522" s="43"/>
      <c r="AF522" s="1027">
        <f t="shared" si="133"/>
        <v>2.1551371222490809</v>
      </c>
      <c r="AG522" s="392">
        <f t="shared" si="134"/>
        <v>2.1549999999999998</v>
      </c>
      <c r="AH522" s="392">
        <f>AG522+'TAR_Tab 14_Overige tarieven'!$AA$14+'TAR_Tab 14_Overige tarieven'!$AA$15</f>
        <v>2.335</v>
      </c>
      <c r="AI522" s="43"/>
    </row>
    <row r="523" spans="1:35">
      <c r="A523" s="96">
        <v>301438</v>
      </c>
      <c r="B523" s="1286" t="s">
        <v>542</v>
      </c>
      <c r="C523" s="1022"/>
      <c r="D523" s="1358"/>
      <c r="E523" s="1022"/>
      <c r="F523" s="1032">
        <v>0.80393062967145379</v>
      </c>
      <c r="G523" s="390">
        <f t="shared" si="125"/>
        <v>0.76502038719535548</v>
      </c>
      <c r="H523" s="390">
        <f t="shared" si="126"/>
        <v>0.78289968288626965</v>
      </c>
      <c r="I523" s="43"/>
      <c r="J523" s="388">
        <f t="shared" si="127"/>
        <v>0.7437546987419561</v>
      </c>
      <c r="K523" s="388">
        <f t="shared" si="128"/>
        <v>0.82204466703058321</v>
      </c>
      <c r="L523" s="1316">
        <v>0.78895253014941724</v>
      </c>
      <c r="M523" s="61" t="b">
        <f t="shared" si="123"/>
        <v>1</v>
      </c>
      <c r="N523" s="857">
        <f t="shared" si="129"/>
        <v>0.78895253014941724</v>
      </c>
      <c r="P523" s="445">
        <f t="shared" si="135"/>
        <v>-3.658992909132238E-2</v>
      </c>
      <c r="Q523" s="445">
        <f t="shared" si="124"/>
        <v>3.7860826697944182E-2</v>
      </c>
      <c r="R523" s="445">
        <f t="shared" si="124"/>
        <v>0</v>
      </c>
      <c r="S523" s="445">
        <f t="shared" si="124"/>
        <v>1.4263120697506414E-3</v>
      </c>
      <c r="T523" s="445">
        <f t="shared" si="124"/>
        <v>3.3033116787129363E-2</v>
      </c>
      <c r="U523" s="445">
        <f t="shared" si="124"/>
        <v>-4.3230636616777042E-3</v>
      </c>
      <c r="V523" s="445">
        <f t="shared" si="124"/>
        <v>-1.6263853599573331E-4</v>
      </c>
      <c r="W523" s="445">
        <f t="shared" si="124"/>
        <v>-1.3447355589969796E-2</v>
      </c>
      <c r="X523" s="445">
        <f t="shared" ref="R523:X557" si="136">$N523*X$5</f>
        <v>1.0610425523835435E-3</v>
      </c>
      <c r="Y523" s="43"/>
      <c r="Z523" s="388">
        <f t="shared" si="131"/>
        <v>0.80781084137765935</v>
      </c>
      <c r="AA523" s="43"/>
      <c r="AB523" s="462">
        <f>IF('TAR_Tab 2_Volumina'!C526="storage",1,0)</f>
        <v>0</v>
      </c>
      <c r="AC523" s="389">
        <f t="shared" si="130"/>
        <v>0.80781084137765935</v>
      </c>
      <c r="AD523" s="389">
        <f t="shared" si="132"/>
        <v>0.86216934326544792</v>
      </c>
      <c r="AE523" s="43"/>
      <c r="AF523" s="1027">
        <f t="shared" si="133"/>
        <v>0.86216934326544792</v>
      </c>
      <c r="AG523" s="392">
        <f t="shared" si="134"/>
        <v>0.86199999999999999</v>
      </c>
      <c r="AH523" s="392">
        <f>AG523+'TAR_Tab 14_Overige tarieven'!$AA$14+'TAR_Tab 14_Overige tarieven'!$AA$15</f>
        <v>1.042</v>
      </c>
      <c r="AI523" s="43"/>
    </row>
    <row r="524" spans="1:35">
      <c r="A524" s="96">
        <v>301439</v>
      </c>
      <c r="B524" s="1286" t="s">
        <v>543</v>
      </c>
      <c r="C524" s="1022"/>
      <c r="D524" s="1358"/>
      <c r="E524" s="1022"/>
      <c r="F524" s="1032">
        <v>1.9078353748919574</v>
      </c>
      <c r="G524" s="390">
        <f t="shared" si="125"/>
        <v>1.8154961427471867</v>
      </c>
      <c r="H524" s="390">
        <f t="shared" si="126"/>
        <v>1.8579261131181624</v>
      </c>
      <c r="I524" s="43"/>
      <c r="J524" s="388">
        <f t="shared" si="127"/>
        <v>1.7650298074622541</v>
      </c>
      <c r="K524" s="388">
        <f t="shared" si="128"/>
        <v>1.9508224187740706</v>
      </c>
      <c r="L524" s="1316">
        <v>1.8722903327426468</v>
      </c>
      <c r="M524" s="61" t="b">
        <f t="shared" si="123"/>
        <v>1</v>
      </c>
      <c r="N524" s="857">
        <f t="shared" si="129"/>
        <v>1.8722903327426468</v>
      </c>
      <c r="P524" s="445">
        <f t="shared" si="135"/>
        <v>-8.6832816798809817E-2</v>
      </c>
      <c r="Q524" s="445">
        <f t="shared" ref="Q524:Q557" si="137">$N524*Q$5</f>
        <v>8.9848827536912312E-2</v>
      </c>
      <c r="R524" s="445">
        <f t="shared" si="136"/>
        <v>0</v>
      </c>
      <c r="S524" s="445">
        <f t="shared" si="136"/>
        <v>3.3848301356768948E-3</v>
      </c>
      <c r="T524" s="445">
        <f t="shared" si="136"/>
        <v>7.8392023420202517E-2</v>
      </c>
      <c r="U524" s="445">
        <f t="shared" si="136"/>
        <v>-1.0259210779205299E-2</v>
      </c>
      <c r="V524" s="445">
        <f t="shared" si="136"/>
        <v>-3.8596309288539693E-4</v>
      </c>
      <c r="W524" s="445">
        <f t="shared" si="136"/>
        <v>-3.1912381176196977E-2</v>
      </c>
      <c r="X524" s="445">
        <f t="shared" si="136"/>
        <v>2.5179965049102002E-3</v>
      </c>
      <c r="Y524" s="43"/>
      <c r="Z524" s="388">
        <f t="shared" si="131"/>
        <v>1.9170436384932512</v>
      </c>
      <c r="AA524" s="43"/>
      <c r="AB524" s="462">
        <f>IF('TAR_Tab 2_Volumina'!C527="storage",1,0)</f>
        <v>0</v>
      </c>
      <c r="AC524" s="389">
        <f t="shared" si="130"/>
        <v>1.9170436384932512</v>
      </c>
      <c r="AD524" s="389">
        <f t="shared" si="132"/>
        <v>2.046043665361287</v>
      </c>
      <c r="AE524" s="43"/>
      <c r="AF524" s="1027">
        <f t="shared" si="133"/>
        <v>2.046043665361287</v>
      </c>
      <c r="AG524" s="392">
        <f t="shared" si="134"/>
        <v>2.0459999999999998</v>
      </c>
      <c r="AH524" s="392">
        <f>AG524+'TAR_Tab 14_Overige tarieven'!$AA$14+'TAR_Tab 14_Overige tarieven'!$AA$15</f>
        <v>2.226</v>
      </c>
      <c r="AI524" s="43"/>
    </row>
    <row r="525" spans="1:35">
      <c r="A525" s="96">
        <v>301441</v>
      </c>
      <c r="B525" s="1286" t="s">
        <v>3</v>
      </c>
      <c r="C525" s="1022"/>
      <c r="D525" s="1358"/>
      <c r="E525" s="1022"/>
      <c r="F525" s="1032">
        <v>1.1860114500974976</v>
      </c>
      <c r="G525" s="390">
        <f t="shared" si="125"/>
        <v>1.1286084959127787</v>
      </c>
      <c r="H525" s="390">
        <f t="shared" si="126"/>
        <v>1.1549852112989918</v>
      </c>
      <c r="I525" s="43"/>
      <c r="J525" s="388">
        <f t="shared" si="127"/>
        <v>1.0972359507340421</v>
      </c>
      <c r="K525" s="388">
        <f t="shared" si="128"/>
        <v>1.2127344718639415</v>
      </c>
      <c r="L525" s="1316">
        <v>1.1639147705107338</v>
      </c>
      <c r="M525" s="61" t="b">
        <f t="shared" si="123"/>
        <v>1</v>
      </c>
      <c r="N525" s="857">
        <f t="shared" si="129"/>
        <v>1.1639147705107338</v>
      </c>
      <c r="P525" s="445">
        <f t="shared" si="135"/>
        <v>-5.3979874953015212E-2</v>
      </c>
      <c r="Q525" s="445">
        <f t="shared" si="137"/>
        <v>5.5854786864221982E-2</v>
      </c>
      <c r="R525" s="445">
        <f t="shared" si="136"/>
        <v>0</v>
      </c>
      <c r="S525" s="445">
        <f t="shared" si="136"/>
        <v>2.1041895702218045E-3</v>
      </c>
      <c r="T525" s="445">
        <f t="shared" si="136"/>
        <v>4.8732631020607091E-2</v>
      </c>
      <c r="U525" s="445">
        <f t="shared" si="136"/>
        <v>-6.3776684368221292E-3</v>
      </c>
      <c r="V525" s="445">
        <f t="shared" si="136"/>
        <v>-2.3993508743019713E-4</v>
      </c>
      <c r="W525" s="445">
        <f t="shared" si="136"/>
        <v>-1.9838425250390826E-2</v>
      </c>
      <c r="X525" s="445">
        <f t="shared" si="136"/>
        <v>1.5653199041338133E-3</v>
      </c>
      <c r="Y525" s="43"/>
      <c r="Z525" s="388">
        <f t="shared" si="131"/>
        <v>1.1917357941422602</v>
      </c>
      <c r="AA525" s="43"/>
      <c r="AB525" s="462">
        <f>IF('TAR_Tab 2_Volumina'!C528="storage",1,0)</f>
        <v>0</v>
      </c>
      <c r="AC525" s="389">
        <f t="shared" si="130"/>
        <v>1.1917357941422602</v>
      </c>
      <c r="AD525" s="389">
        <f t="shared" si="132"/>
        <v>1.2719290387701094</v>
      </c>
      <c r="AE525" s="43"/>
      <c r="AF525" s="1027">
        <f t="shared" si="133"/>
        <v>1.2719290387701094</v>
      </c>
      <c r="AG525" s="392">
        <f t="shared" si="134"/>
        <v>1.272</v>
      </c>
      <c r="AH525" s="392">
        <f>AG525+'TAR_Tab 14_Overige tarieven'!$AA$14+'TAR_Tab 14_Overige tarieven'!$AA$15</f>
        <v>1.452</v>
      </c>
      <c r="AI525" s="43"/>
    </row>
    <row r="526" spans="1:35">
      <c r="A526" s="96">
        <v>301442</v>
      </c>
      <c r="B526" s="1286" t="s">
        <v>837</v>
      </c>
      <c r="C526" s="1022"/>
      <c r="D526" s="1358"/>
      <c r="E526" s="1022"/>
      <c r="F526" s="1032">
        <v>1.1860114500974976</v>
      </c>
      <c r="G526" s="390">
        <f t="shared" si="125"/>
        <v>1.1286084959127787</v>
      </c>
      <c r="H526" s="390">
        <f t="shared" si="126"/>
        <v>1.1549852112989918</v>
      </c>
      <c r="I526" s="43"/>
      <c r="J526" s="388">
        <f t="shared" si="127"/>
        <v>1.0972359507340421</v>
      </c>
      <c r="K526" s="388">
        <f t="shared" si="128"/>
        <v>1.2127344718639415</v>
      </c>
      <c r="L526" s="1316">
        <v>1.1639147705107338</v>
      </c>
      <c r="M526" s="61" t="b">
        <f t="shared" si="123"/>
        <v>1</v>
      </c>
      <c r="N526" s="857">
        <f t="shared" si="129"/>
        <v>1.1639147705107338</v>
      </c>
      <c r="P526" s="445">
        <f t="shared" si="135"/>
        <v>-5.3979874953015212E-2</v>
      </c>
      <c r="Q526" s="445">
        <f t="shared" si="137"/>
        <v>5.5854786864221982E-2</v>
      </c>
      <c r="R526" s="445">
        <f t="shared" si="136"/>
        <v>0</v>
      </c>
      <c r="S526" s="445">
        <f t="shared" si="136"/>
        <v>2.1041895702218045E-3</v>
      </c>
      <c r="T526" s="445">
        <f t="shared" si="136"/>
        <v>4.8732631020607091E-2</v>
      </c>
      <c r="U526" s="445">
        <f t="shared" si="136"/>
        <v>-6.3776684368221292E-3</v>
      </c>
      <c r="V526" s="445">
        <f t="shared" si="136"/>
        <v>-2.3993508743019713E-4</v>
      </c>
      <c r="W526" s="445">
        <f t="shared" si="136"/>
        <v>-1.9838425250390826E-2</v>
      </c>
      <c r="X526" s="445">
        <f t="shared" si="136"/>
        <v>1.5653199041338133E-3</v>
      </c>
      <c r="Y526" s="43"/>
      <c r="Z526" s="388">
        <f t="shared" si="131"/>
        <v>1.1917357941422602</v>
      </c>
      <c r="AA526" s="43"/>
      <c r="AB526" s="462">
        <f>IF('TAR_Tab 2_Volumina'!C529="storage",1,0)</f>
        <v>0</v>
      </c>
      <c r="AC526" s="389">
        <f t="shared" si="130"/>
        <v>1.1917357941422602</v>
      </c>
      <c r="AD526" s="389">
        <f t="shared" si="132"/>
        <v>1.2719290387701094</v>
      </c>
      <c r="AE526" s="43"/>
      <c r="AF526" s="1027">
        <f t="shared" si="133"/>
        <v>1.2719290387701094</v>
      </c>
      <c r="AG526" s="392">
        <f t="shared" si="134"/>
        <v>1.272</v>
      </c>
      <c r="AH526" s="392">
        <f>AG526+'TAR_Tab 14_Overige tarieven'!$AA$14+'TAR_Tab 14_Overige tarieven'!$AA$15</f>
        <v>1.452</v>
      </c>
      <c r="AI526" s="43"/>
    </row>
    <row r="527" spans="1:35">
      <c r="A527" s="96">
        <v>301443</v>
      </c>
      <c r="B527" s="1286" t="s">
        <v>4</v>
      </c>
      <c r="C527" s="1022"/>
      <c r="D527" s="1358"/>
      <c r="E527" s="1022"/>
      <c r="F527" s="1032">
        <v>1.1860114500974976</v>
      </c>
      <c r="G527" s="390">
        <f t="shared" si="125"/>
        <v>1.1286084959127787</v>
      </c>
      <c r="H527" s="390">
        <f t="shared" si="126"/>
        <v>1.1549852112989918</v>
      </c>
      <c r="I527" s="43"/>
      <c r="J527" s="388">
        <f t="shared" si="127"/>
        <v>1.0972359507340421</v>
      </c>
      <c r="K527" s="388">
        <f t="shared" si="128"/>
        <v>1.2127344718639415</v>
      </c>
      <c r="L527" s="1316">
        <v>1.1639147705107338</v>
      </c>
      <c r="M527" s="61" t="b">
        <f t="shared" si="123"/>
        <v>1</v>
      </c>
      <c r="N527" s="857">
        <f t="shared" si="129"/>
        <v>1.1639147705107338</v>
      </c>
      <c r="P527" s="445">
        <f t="shared" si="135"/>
        <v>-5.3979874953015212E-2</v>
      </c>
      <c r="Q527" s="445">
        <f t="shared" si="137"/>
        <v>5.5854786864221982E-2</v>
      </c>
      <c r="R527" s="445">
        <f t="shared" si="136"/>
        <v>0</v>
      </c>
      <c r="S527" s="445">
        <f t="shared" si="136"/>
        <v>2.1041895702218045E-3</v>
      </c>
      <c r="T527" s="445">
        <f t="shared" si="136"/>
        <v>4.8732631020607091E-2</v>
      </c>
      <c r="U527" s="445">
        <f t="shared" si="136"/>
        <v>-6.3776684368221292E-3</v>
      </c>
      <c r="V527" s="445">
        <f t="shared" si="136"/>
        <v>-2.3993508743019713E-4</v>
      </c>
      <c r="W527" s="445">
        <f t="shared" si="136"/>
        <v>-1.9838425250390826E-2</v>
      </c>
      <c r="X527" s="445">
        <f t="shared" si="136"/>
        <v>1.5653199041338133E-3</v>
      </c>
      <c r="Y527" s="43"/>
      <c r="Z527" s="388">
        <f t="shared" si="131"/>
        <v>1.1917357941422602</v>
      </c>
      <c r="AA527" s="43"/>
      <c r="AB527" s="462">
        <f>IF('TAR_Tab 2_Volumina'!C530="storage",1,0)</f>
        <v>0</v>
      </c>
      <c r="AC527" s="389">
        <f t="shared" si="130"/>
        <v>1.1917357941422602</v>
      </c>
      <c r="AD527" s="389">
        <f t="shared" si="132"/>
        <v>1.2719290387701094</v>
      </c>
      <c r="AE527" s="43"/>
      <c r="AF527" s="1027">
        <f t="shared" si="133"/>
        <v>1.2719290387701094</v>
      </c>
      <c r="AG527" s="392">
        <f t="shared" si="134"/>
        <v>1.272</v>
      </c>
      <c r="AH527" s="392">
        <f>AG527+'TAR_Tab 14_Overige tarieven'!$AA$14+'TAR_Tab 14_Overige tarieven'!$AA$15</f>
        <v>1.452</v>
      </c>
      <c r="AI527" s="43"/>
    </row>
    <row r="528" spans="1:35">
      <c r="A528" s="96">
        <v>301445</v>
      </c>
      <c r="B528" s="1286" t="s">
        <v>200</v>
      </c>
      <c r="C528" s="1022"/>
      <c r="D528" s="1358"/>
      <c r="E528" s="1022"/>
      <c r="F528" s="1032">
        <v>2.523265673036827</v>
      </c>
      <c r="G528" s="390">
        <f t="shared" si="125"/>
        <v>2.4011396144618447</v>
      </c>
      <c r="H528" s="390">
        <f t="shared" si="126"/>
        <v>2.4572566616421421</v>
      </c>
      <c r="I528" s="43"/>
      <c r="J528" s="388">
        <f t="shared" si="127"/>
        <v>2.3343938285600347</v>
      </c>
      <c r="K528" s="388">
        <f t="shared" si="128"/>
        <v>2.5801194947242494</v>
      </c>
      <c r="L528" s="1316">
        <v>2.4762544969771096</v>
      </c>
      <c r="M528" s="61" t="b">
        <f t="shared" si="123"/>
        <v>1</v>
      </c>
      <c r="N528" s="857">
        <f t="shared" si="129"/>
        <v>2.4762544969771096</v>
      </c>
      <c r="P528" s="445">
        <f t="shared" si="135"/>
        <v>-0.11484338156479583</v>
      </c>
      <c r="Q528" s="445">
        <f t="shared" si="137"/>
        <v>0.11883229825284887</v>
      </c>
      <c r="R528" s="445">
        <f t="shared" si="136"/>
        <v>0</v>
      </c>
      <c r="S528" s="445">
        <f t="shared" si="136"/>
        <v>4.476709994381863E-3</v>
      </c>
      <c r="T528" s="445">
        <f t="shared" si="136"/>
        <v>0.1036797536827819</v>
      </c>
      <c r="U528" s="445">
        <f t="shared" si="136"/>
        <v>-1.3568631094852257E-2</v>
      </c>
      <c r="V528" s="445">
        <f t="shared" si="136"/>
        <v>-5.1046722172870844E-4</v>
      </c>
      <c r="W528" s="445">
        <f t="shared" si="136"/>
        <v>-4.2206689857254877E-2</v>
      </c>
      <c r="X528" s="445">
        <f t="shared" si="136"/>
        <v>3.3302528243698299E-3</v>
      </c>
      <c r="Y528" s="43"/>
      <c r="Z528" s="388">
        <f t="shared" si="131"/>
        <v>2.5354443419928603</v>
      </c>
      <c r="AA528" s="43"/>
      <c r="AB528" s="462">
        <f>IF('TAR_Tab 2_Volumina'!C531="storage",1,0)</f>
        <v>0</v>
      </c>
      <c r="AC528" s="389">
        <f t="shared" si="130"/>
        <v>2.5354443419928603</v>
      </c>
      <c r="AD528" s="389">
        <f t="shared" si="132"/>
        <v>2.7060572491129919</v>
      </c>
      <c r="AE528" s="43"/>
      <c r="AF528" s="1027">
        <f t="shared" si="133"/>
        <v>2.7060572491129919</v>
      </c>
      <c r="AG528" s="392">
        <f t="shared" si="134"/>
        <v>2.706</v>
      </c>
      <c r="AH528" s="392">
        <f>AG528+'TAR_Tab 14_Overige tarieven'!$AA$14+'TAR_Tab 14_Overige tarieven'!$AA$15</f>
        <v>2.8860000000000001</v>
      </c>
      <c r="AI528" s="43"/>
    </row>
    <row r="529" spans="1:35">
      <c r="A529" s="96">
        <v>301446</v>
      </c>
      <c r="B529" s="1286" t="s">
        <v>258</v>
      </c>
      <c r="C529" s="1022"/>
      <c r="D529" s="1358"/>
      <c r="E529" s="1022"/>
      <c r="F529" s="1032">
        <v>1.0812953171864503</v>
      </c>
      <c r="G529" s="390">
        <f t="shared" si="125"/>
        <v>1.0289606238346261</v>
      </c>
      <c r="H529" s="390">
        <f t="shared" si="126"/>
        <v>1.0530084682525931</v>
      </c>
      <c r="I529" s="43"/>
      <c r="J529" s="388">
        <f t="shared" si="127"/>
        <v>1.0003580448399634</v>
      </c>
      <c r="K529" s="388">
        <f t="shared" si="128"/>
        <v>1.1056588916652228</v>
      </c>
      <c r="L529" s="1316">
        <v>1.0611496127241764</v>
      </c>
      <c r="M529" s="61" t="b">
        <f t="shared" si="123"/>
        <v>1</v>
      </c>
      <c r="N529" s="857">
        <f t="shared" si="129"/>
        <v>1.0611496127241764</v>
      </c>
      <c r="P529" s="445">
        <f t="shared" si="135"/>
        <v>-4.9213846969358752E-2</v>
      </c>
      <c r="Q529" s="445">
        <f t="shared" si="137"/>
        <v>5.0923217877673607E-2</v>
      </c>
      <c r="R529" s="445">
        <f t="shared" si="136"/>
        <v>0</v>
      </c>
      <c r="S529" s="445">
        <f t="shared" si="136"/>
        <v>1.9184050276802695E-3</v>
      </c>
      <c r="T529" s="445">
        <f t="shared" si="136"/>
        <v>4.4429896281714468E-2</v>
      </c>
      <c r="U529" s="445">
        <f t="shared" si="136"/>
        <v>-5.8145669797173474E-3</v>
      </c>
      <c r="V529" s="445">
        <f t="shared" si="136"/>
        <v>-2.1875057483270168E-4</v>
      </c>
      <c r="W529" s="445">
        <f t="shared" si="136"/>
        <v>-1.8086837459990467E-2</v>
      </c>
      <c r="X529" s="445">
        <f t="shared" si="136"/>
        <v>1.427113610159072E-3</v>
      </c>
      <c r="Y529" s="43"/>
      <c r="Z529" s="388">
        <f t="shared" si="131"/>
        <v>1.0865142435375046</v>
      </c>
      <c r="AA529" s="43"/>
      <c r="AB529" s="462">
        <f>IF('TAR_Tab 2_Volumina'!C532="storage",1,0)</f>
        <v>0</v>
      </c>
      <c r="AC529" s="389">
        <f t="shared" si="130"/>
        <v>1.0865142435375046</v>
      </c>
      <c r="AD529" s="389">
        <f t="shared" si="132"/>
        <v>1.1596270114445535</v>
      </c>
      <c r="AE529" s="43"/>
      <c r="AF529" s="1027">
        <f t="shared" si="133"/>
        <v>1.1596270114445535</v>
      </c>
      <c r="AG529" s="392">
        <f t="shared" si="134"/>
        <v>1.1599999999999999</v>
      </c>
      <c r="AH529" s="392">
        <f>AG529+'TAR_Tab 14_Overige tarieven'!$AA$14+'TAR_Tab 14_Overige tarieven'!$AA$15</f>
        <v>1.3399999999999999</v>
      </c>
      <c r="AI529" s="43"/>
    </row>
    <row r="530" spans="1:35">
      <c r="A530" s="96">
        <v>301450</v>
      </c>
      <c r="B530" s="1286" t="s">
        <v>544</v>
      </c>
      <c r="C530" s="1022"/>
      <c r="D530" s="1358"/>
      <c r="E530" s="1022"/>
      <c r="F530" s="1032">
        <v>2.0714710336356599</v>
      </c>
      <c r="G530" s="390">
        <f t="shared" si="125"/>
        <v>1.971211835607694</v>
      </c>
      <c r="H530" s="390">
        <f t="shared" si="126"/>
        <v>2.0172810382958306</v>
      </c>
      <c r="I530" s="43"/>
      <c r="J530" s="388">
        <f t="shared" si="127"/>
        <v>1.916416986381039</v>
      </c>
      <c r="K530" s="388">
        <f t="shared" si="128"/>
        <v>2.1181450902106223</v>
      </c>
      <c r="L530" s="1316">
        <v>2.0328772816952831</v>
      </c>
      <c r="M530" s="61" t="b">
        <f t="shared" si="123"/>
        <v>1</v>
      </c>
      <c r="N530" s="857">
        <f t="shared" si="129"/>
        <v>2.0328772816952831</v>
      </c>
      <c r="P530" s="445">
        <f t="shared" si="135"/>
        <v>-9.4280495652258656E-2</v>
      </c>
      <c r="Q530" s="445">
        <f t="shared" si="137"/>
        <v>9.7555190609346989E-2</v>
      </c>
      <c r="R530" s="445">
        <f t="shared" si="136"/>
        <v>0</v>
      </c>
      <c r="S530" s="445">
        <f t="shared" si="136"/>
        <v>3.6751481139869419E-3</v>
      </c>
      <c r="T530" s="445">
        <f t="shared" si="136"/>
        <v>8.5115732688536547E-2</v>
      </c>
      <c r="U530" s="445">
        <f t="shared" si="136"/>
        <v>-1.1139146614413733E-2</v>
      </c>
      <c r="V530" s="445">
        <f t="shared" si="136"/>
        <v>-4.1906727251548448E-4</v>
      </c>
      <c r="W530" s="445">
        <f t="shared" si="136"/>
        <v>-3.4649516457663725E-2</v>
      </c>
      <c r="X530" s="445">
        <f t="shared" si="136"/>
        <v>2.7339658816278607E-3</v>
      </c>
      <c r="Y530" s="43"/>
      <c r="Z530" s="388">
        <f t="shared" si="131"/>
        <v>2.0814690929919299</v>
      </c>
      <c r="AA530" s="43"/>
      <c r="AB530" s="462">
        <f>IF('TAR_Tab 2_Volumina'!C533="storage",1,0)</f>
        <v>0</v>
      </c>
      <c r="AC530" s="389">
        <f t="shared" si="130"/>
        <v>2.0814690929919299</v>
      </c>
      <c r="AD530" s="389">
        <f t="shared" si="132"/>
        <v>2.2215334939942912</v>
      </c>
      <c r="AE530" s="43"/>
      <c r="AF530" s="1027">
        <f t="shared" si="133"/>
        <v>2.2215334939942912</v>
      </c>
      <c r="AG530" s="392">
        <f t="shared" si="134"/>
        <v>2.222</v>
      </c>
      <c r="AH530" s="392">
        <f>AG530+'TAR_Tab 14_Overige tarieven'!$AA$14+'TAR_Tab 14_Overige tarieven'!$AA$15</f>
        <v>2.4020000000000001</v>
      </c>
      <c r="AI530" s="43"/>
    </row>
    <row r="531" spans="1:35">
      <c r="A531" s="96">
        <v>301451</v>
      </c>
      <c r="B531" s="1286" t="s">
        <v>545</v>
      </c>
      <c r="C531" s="1022"/>
      <c r="D531" s="1358"/>
      <c r="E531" s="1022"/>
      <c r="F531" s="1032">
        <v>0.96891639322343137</v>
      </c>
      <c r="G531" s="390">
        <f t="shared" si="125"/>
        <v>0.92202083979141725</v>
      </c>
      <c r="H531" s="390">
        <f t="shared" si="126"/>
        <v>0.94356939392636241</v>
      </c>
      <c r="I531" s="43"/>
      <c r="J531" s="388">
        <f t="shared" si="127"/>
        <v>0.89639092423004429</v>
      </c>
      <c r="K531" s="388">
        <f t="shared" si="128"/>
        <v>0.99074786362268052</v>
      </c>
      <c r="L531" s="1316">
        <v>0.95086442999351406</v>
      </c>
      <c r="M531" s="61" t="b">
        <f t="shared" si="123"/>
        <v>1</v>
      </c>
      <c r="N531" s="857">
        <f t="shared" si="129"/>
        <v>0.95086442999351406</v>
      </c>
      <c r="P531" s="445">
        <f t="shared" si="135"/>
        <v>-4.4099056330213167E-2</v>
      </c>
      <c r="Q531" s="445">
        <f t="shared" si="137"/>
        <v>4.5630772475507356E-2</v>
      </c>
      <c r="R531" s="445">
        <f t="shared" si="136"/>
        <v>0</v>
      </c>
      <c r="S531" s="445">
        <f t="shared" si="136"/>
        <v>1.7190253676472281E-3</v>
      </c>
      <c r="T531" s="445">
        <f t="shared" si="136"/>
        <v>3.9812301202398453E-2</v>
      </c>
      <c r="U531" s="445">
        <f t="shared" si="136"/>
        <v>-5.2102595623951435E-3</v>
      </c>
      <c r="V531" s="445">
        <f t="shared" si="136"/>
        <v>-1.96015847487395E-4</v>
      </c>
      <c r="W531" s="445">
        <f t="shared" si="136"/>
        <v>-1.6207074087911361E-2</v>
      </c>
      <c r="X531" s="445">
        <f t="shared" si="136"/>
        <v>1.2787938224622557E-3</v>
      </c>
      <c r="Y531" s="43"/>
      <c r="Z531" s="388">
        <f t="shared" si="131"/>
        <v>0.97359291703352224</v>
      </c>
      <c r="AA531" s="43"/>
      <c r="AB531" s="462">
        <f>IF('TAR_Tab 2_Volumina'!C534="storage",1,0)</f>
        <v>0</v>
      </c>
      <c r="AC531" s="389">
        <f t="shared" si="130"/>
        <v>0.97359291703352224</v>
      </c>
      <c r="AD531" s="389">
        <f t="shared" si="132"/>
        <v>1.039107081622163</v>
      </c>
      <c r="AE531" s="43"/>
      <c r="AF531" s="1027">
        <f t="shared" si="133"/>
        <v>1.039107081622163</v>
      </c>
      <c r="AG531" s="392">
        <f t="shared" si="134"/>
        <v>1.0389999999999999</v>
      </c>
      <c r="AH531" s="392">
        <f>AG531+'TAR_Tab 14_Overige tarieven'!$AA$14+'TAR_Tab 14_Overige tarieven'!$AA$15</f>
        <v>1.2189999999999999</v>
      </c>
      <c r="AI531" s="43"/>
    </row>
    <row r="532" spans="1:35">
      <c r="A532" s="96">
        <v>301453</v>
      </c>
      <c r="B532" s="1286" t="s">
        <v>546</v>
      </c>
      <c r="C532" s="1022"/>
      <c r="D532" s="1358"/>
      <c r="E532" s="1022"/>
      <c r="F532" s="1032">
        <v>0.7520751942899867</v>
      </c>
      <c r="G532" s="390">
        <f t="shared" si="125"/>
        <v>0.71567475488635135</v>
      </c>
      <c r="H532" s="390">
        <f t="shared" si="126"/>
        <v>0.73240079353225751</v>
      </c>
      <c r="I532" s="43"/>
      <c r="J532" s="388">
        <f t="shared" si="127"/>
        <v>0.69578075385564464</v>
      </c>
      <c r="K532" s="388">
        <f t="shared" si="128"/>
        <v>0.76902083320887038</v>
      </c>
      <c r="L532" s="1316">
        <v>0.73240079353225751</v>
      </c>
      <c r="M532" s="61" t="b">
        <f t="shared" si="123"/>
        <v>1</v>
      </c>
      <c r="N532" s="857">
        <f t="shared" si="129"/>
        <v>0.73240079353225751</v>
      </c>
      <c r="P532" s="445">
        <f t="shared" si="135"/>
        <v>-3.3967180632145592E-2</v>
      </c>
      <c r="Q532" s="445">
        <f t="shared" si="137"/>
        <v>3.5146980911652609E-2</v>
      </c>
      <c r="R532" s="445">
        <f t="shared" si="136"/>
        <v>0</v>
      </c>
      <c r="S532" s="445">
        <f t="shared" si="136"/>
        <v>1.3240747089209115E-3</v>
      </c>
      <c r="T532" s="445">
        <f t="shared" si="136"/>
        <v>3.0665318917419984E-2</v>
      </c>
      <c r="U532" s="445">
        <f t="shared" si="136"/>
        <v>-4.0131885446942897E-3</v>
      </c>
      <c r="V532" s="445">
        <f t="shared" si="136"/>
        <v>-1.5098068422398061E-4</v>
      </c>
      <c r="W532" s="445">
        <f t="shared" si="136"/>
        <v>-1.2483455630897177E-2</v>
      </c>
      <c r="X532" s="445">
        <f t="shared" si="136"/>
        <v>9.8498753428172031E-4</v>
      </c>
      <c r="Y532" s="43"/>
      <c r="Z532" s="388">
        <f t="shared" si="131"/>
        <v>0.7499073501125717</v>
      </c>
      <c r="AA532" s="43"/>
      <c r="AB532" s="462">
        <f>IF('TAR_Tab 2_Volumina'!C535="storage",1,0)</f>
        <v>1</v>
      </c>
      <c r="AC532" s="389">
        <f t="shared" si="130"/>
        <v>0.56243051258442878</v>
      </c>
      <c r="AD532" s="389">
        <f t="shared" si="132"/>
        <v>0.56243051258442878</v>
      </c>
      <c r="AE532" s="43"/>
      <c r="AF532" s="1027">
        <f t="shared" si="133"/>
        <v>0.56243051258442878</v>
      </c>
      <c r="AG532" s="392">
        <f t="shared" si="134"/>
        <v>0.56200000000000006</v>
      </c>
      <c r="AH532" s="392">
        <f>AG532+'TAR_Tab 14_Overige tarieven'!$AA$14+'TAR_Tab 14_Overige tarieven'!$AA$15</f>
        <v>0.7420000000000001</v>
      </c>
      <c r="AI532" s="43"/>
    </row>
    <row r="533" spans="1:35">
      <c r="A533" s="96">
        <v>301455</v>
      </c>
      <c r="B533" s="1286" t="s">
        <v>643</v>
      </c>
      <c r="C533" s="1022"/>
      <c r="D533" s="1358"/>
      <c r="E533" s="1022"/>
      <c r="F533" s="1032">
        <v>3.3089773320737863</v>
      </c>
      <c r="G533" s="390">
        <f t="shared" si="125"/>
        <v>3.1488228292014151</v>
      </c>
      <c r="H533" s="390">
        <f t="shared" si="126"/>
        <v>3.2224139849194873</v>
      </c>
      <c r="I533" s="43"/>
      <c r="J533" s="388">
        <f t="shared" si="127"/>
        <v>3.0612932856735129</v>
      </c>
      <c r="K533" s="388">
        <f t="shared" si="128"/>
        <v>3.3835346841654617</v>
      </c>
      <c r="L533" s="1316">
        <v>3.2473274956740723</v>
      </c>
      <c r="M533" s="61" t="b">
        <f t="shared" si="123"/>
        <v>1</v>
      </c>
      <c r="N533" s="857">
        <f t="shared" si="129"/>
        <v>3.2473274956740723</v>
      </c>
      <c r="P533" s="445">
        <f t="shared" si="135"/>
        <v>-0.15060409626991492</v>
      </c>
      <c r="Q533" s="445">
        <f t="shared" si="137"/>
        <v>0.15583510901714287</v>
      </c>
      <c r="R533" s="445">
        <f t="shared" si="136"/>
        <v>0</v>
      </c>
      <c r="S533" s="445">
        <f t="shared" si="136"/>
        <v>5.8706984571503546E-3</v>
      </c>
      <c r="T533" s="445">
        <f t="shared" si="136"/>
        <v>0.13596426186800181</v>
      </c>
      <c r="U533" s="445">
        <f t="shared" si="136"/>
        <v>-1.77937239030804E-2</v>
      </c>
      <c r="V533" s="445">
        <f t="shared" si="136"/>
        <v>-6.6941998360167405E-4</v>
      </c>
      <c r="W533" s="445">
        <f t="shared" si="136"/>
        <v>-5.5349296545313335E-2</v>
      </c>
      <c r="X533" s="445">
        <f t="shared" si="136"/>
        <v>4.3672496414742922E-3</v>
      </c>
      <c r="Y533" s="43"/>
      <c r="Z533" s="388">
        <f t="shared" si="131"/>
        <v>3.3249482779559312</v>
      </c>
      <c r="AA533" s="43"/>
      <c r="AB533" s="462">
        <f>IF('TAR_Tab 2_Volumina'!C536="storage",1,0)</f>
        <v>0</v>
      </c>
      <c r="AC533" s="389">
        <f t="shared" si="130"/>
        <v>3.3249482779559312</v>
      </c>
      <c r="AD533" s="389">
        <f t="shared" si="132"/>
        <v>3.5486877946673312</v>
      </c>
      <c r="AE533" s="43"/>
      <c r="AF533" s="1027">
        <f t="shared" si="133"/>
        <v>3.5486877946673312</v>
      </c>
      <c r="AG533" s="392">
        <f t="shared" si="134"/>
        <v>3.5489999999999999</v>
      </c>
      <c r="AH533" s="392">
        <f>AG533+'TAR_Tab 14_Overige tarieven'!$AA$14+'TAR_Tab 14_Overige tarieven'!$AA$15</f>
        <v>3.7290000000000001</v>
      </c>
      <c r="AI533" s="43"/>
    </row>
    <row r="534" spans="1:35">
      <c r="A534" s="96">
        <v>301456</v>
      </c>
      <c r="B534" s="1286" t="s">
        <v>644</v>
      </c>
      <c r="C534" s="1022"/>
      <c r="D534" s="1358"/>
      <c r="E534" s="1022"/>
      <c r="F534" s="1032">
        <v>2.2961890628913539</v>
      </c>
      <c r="G534" s="390">
        <f t="shared" si="125"/>
        <v>2.1850535122474124</v>
      </c>
      <c r="H534" s="390">
        <f t="shared" si="126"/>
        <v>2.2361204099403831</v>
      </c>
      <c r="I534" s="43"/>
      <c r="J534" s="388">
        <f t="shared" si="127"/>
        <v>2.1243143894433638</v>
      </c>
      <c r="K534" s="388">
        <f t="shared" si="128"/>
        <v>2.3479264304374023</v>
      </c>
      <c r="L534" s="1316">
        <v>2.2534085703512772</v>
      </c>
      <c r="M534" s="61" t="b">
        <f t="shared" si="123"/>
        <v>1</v>
      </c>
      <c r="N534" s="857">
        <f t="shared" si="129"/>
        <v>2.2534085703512772</v>
      </c>
      <c r="P534" s="445">
        <f t="shared" si="135"/>
        <v>-0.10450826463198747</v>
      </c>
      <c r="Q534" s="445">
        <f t="shared" si="137"/>
        <v>0.10813820616758039</v>
      </c>
      <c r="R534" s="445">
        <f t="shared" si="136"/>
        <v>0</v>
      </c>
      <c r="S534" s="445">
        <f t="shared" si="136"/>
        <v>4.0738367888405935E-3</v>
      </c>
      <c r="T534" s="445">
        <f t="shared" si="136"/>
        <v>9.4349286717458847E-2</v>
      </c>
      <c r="U534" s="445">
        <f t="shared" si="136"/>
        <v>-1.2347547327788881E-2</v>
      </c>
      <c r="V534" s="445">
        <f t="shared" si="136"/>
        <v>-4.6452867172219037E-4</v>
      </c>
      <c r="W534" s="445">
        <f t="shared" si="136"/>
        <v>-3.8408377154529466E-2</v>
      </c>
      <c r="X534" s="445">
        <f t="shared" si="136"/>
        <v>3.0305529036020128E-3</v>
      </c>
      <c r="Y534" s="43"/>
      <c r="Z534" s="388">
        <f t="shared" si="131"/>
        <v>2.3072717351427312</v>
      </c>
      <c r="AA534" s="43"/>
      <c r="AB534" s="462">
        <f>IF('TAR_Tab 2_Volumina'!C537="storage",1,0)</f>
        <v>0</v>
      </c>
      <c r="AC534" s="389">
        <f t="shared" si="130"/>
        <v>2.3072717351427312</v>
      </c>
      <c r="AD534" s="389">
        <f t="shared" si="132"/>
        <v>2.4625306504062396</v>
      </c>
      <c r="AE534" s="43"/>
      <c r="AF534" s="1027">
        <f t="shared" si="133"/>
        <v>2.4625306504062396</v>
      </c>
      <c r="AG534" s="392">
        <f t="shared" si="134"/>
        <v>2.4630000000000001</v>
      </c>
      <c r="AH534" s="392">
        <f>AG534+'TAR_Tab 14_Overige tarieven'!$AA$14+'TAR_Tab 14_Overige tarieven'!$AA$15</f>
        <v>2.6430000000000002</v>
      </c>
      <c r="AI534" s="43"/>
    </row>
    <row r="535" spans="1:35">
      <c r="A535" s="96">
        <v>301457</v>
      </c>
      <c r="B535" s="1286" t="s">
        <v>645</v>
      </c>
      <c r="C535" s="1022"/>
      <c r="D535" s="1358"/>
      <c r="E535" s="1022"/>
      <c r="F535" s="1032">
        <v>1.9305096649990074</v>
      </c>
      <c r="G535" s="390">
        <f t="shared" si="125"/>
        <v>1.8370729972130555</v>
      </c>
      <c r="H535" s="390">
        <f t="shared" si="126"/>
        <v>1.8800072403688248</v>
      </c>
      <c r="I535" s="43"/>
      <c r="J535" s="388">
        <f t="shared" si="127"/>
        <v>1.7860068783503835</v>
      </c>
      <c r="K535" s="388">
        <f t="shared" si="128"/>
        <v>1.9740076023872661</v>
      </c>
      <c r="L535" s="1316">
        <v>1.8945421762339312</v>
      </c>
      <c r="M535" s="61" t="b">
        <f t="shared" si="123"/>
        <v>1</v>
      </c>
      <c r="N535" s="857">
        <f t="shared" si="129"/>
        <v>1.8945421762339312</v>
      </c>
      <c r="P535" s="445">
        <f t="shared" si="135"/>
        <v>-8.7864809655646345E-2</v>
      </c>
      <c r="Q535" s="445">
        <f t="shared" si="137"/>
        <v>9.0916665154435056E-2</v>
      </c>
      <c r="R535" s="445">
        <f t="shared" si="136"/>
        <v>0</v>
      </c>
      <c r="S535" s="445">
        <f t="shared" si="136"/>
        <v>3.4250582504657661E-3</v>
      </c>
      <c r="T535" s="445">
        <f t="shared" si="136"/>
        <v>7.9323698922450184E-2</v>
      </c>
      <c r="U535" s="445">
        <f t="shared" si="136"/>
        <v>-1.0381139706899203E-2</v>
      </c>
      <c r="V535" s="445">
        <f t="shared" si="136"/>
        <v>-3.9055019681159044E-4</v>
      </c>
      <c r="W535" s="445">
        <f t="shared" si="136"/>
        <v>-3.2291654250969914E-2</v>
      </c>
      <c r="X535" s="445">
        <f t="shared" si="136"/>
        <v>2.5479224534444675E-3</v>
      </c>
      <c r="Y535" s="43"/>
      <c r="Z535" s="388">
        <f t="shared" si="131"/>
        <v>1.9398273672043995</v>
      </c>
      <c r="AA535" s="43"/>
      <c r="AB535" s="462">
        <f>IF('TAR_Tab 2_Volumina'!C538="storage",1,0)</f>
        <v>0</v>
      </c>
      <c r="AC535" s="389">
        <f t="shared" si="130"/>
        <v>1.9398273672043995</v>
      </c>
      <c r="AD535" s="389">
        <f t="shared" si="132"/>
        <v>2.0703605368537867</v>
      </c>
      <c r="AE535" s="43"/>
      <c r="AF535" s="1027">
        <f t="shared" si="133"/>
        <v>2.0703605368537867</v>
      </c>
      <c r="AG535" s="392">
        <f t="shared" si="134"/>
        <v>2.0699999999999998</v>
      </c>
      <c r="AH535" s="392">
        <f>AG535+'TAR_Tab 14_Overige tarieven'!$AA$14+'TAR_Tab 14_Overige tarieven'!$AA$15</f>
        <v>2.25</v>
      </c>
      <c r="AI535" s="43"/>
    </row>
    <row r="536" spans="1:35">
      <c r="A536" s="96">
        <v>301460</v>
      </c>
      <c r="B536" s="1286" t="s">
        <v>415</v>
      </c>
      <c r="C536" s="1022"/>
      <c r="D536" s="1358"/>
      <c r="E536" s="1022"/>
      <c r="F536" s="1032">
        <v>1.159886611128742</v>
      </c>
      <c r="G536" s="390">
        <f t="shared" si="125"/>
        <v>1.103748099150111</v>
      </c>
      <c r="H536" s="390">
        <f t="shared" si="126"/>
        <v>1.1295438020663915</v>
      </c>
      <c r="I536" s="43"/>
      <c r="J536" s="388">
        <f t="shared" si="127"/>
        <v>1.0730666119630718</v>
      </c>
      <c r="K536" s="388">
        <f t="shared" si="128"/>
        <v>1.1860209921697111</v>
      </c>
      <c r="L536" s="1316">
        <v>1.1382766656252798</v>
      </c>
      <c r="M536" s="61" t="b">
        <f t="shared" si="123"/>
        <v>1</v>
      </c>
      <c r="N536" s="857">
        <f t="shared" si="129"/>
        <v>1.1382766656252798</v>
      </c>
      <c r="P536" s="445">
        <f t="shared" si="135"/>
        <v>-5.2790834543173341E-2</v>
      </c>
      <c r="Q536" s="445">
        <f t="shared" si="137"/>
        <v>5.4624446876912411E-2</v>
      </c>
      <c r="R536" s="445">
        <f t="shared" si="136"/>
        <v>0</v>
      </c>
      <c r="S536" s="445">
        <f t="shared" si="136"/>
        <v>2.0578395845810581E-3</v>
      </c>
      <c r="T536" s="445">
        <f t="shared" si="136"/>
        <v>4.7659174151508166E-2</v>
      </c>
      <c r="U536" s="445">
        <f t="shared" si="136"/>
        <v>-6.237184497232511E-3</v>
      </c>
      <c r="V536" s="445">
        <f t="shared" si="136"/>
        <v>-2.3464992300657129E-4</v>
      </c>
      <c r="W536" s="445">
        <f t="shared" si="136"/>
        <v>-1.9401434810696887E-2</v>
      </c>
      <c r="X536" s="445">
        <f t="shared" si="136"/>
        <v>1.5308398572280925E-3</v>
      </c>
      <c r="Y536" s="43"/>
      <c r="Z536" s="388">
        <f t="shared" si="131"/>
        <v>1.1654848623214003</v>
      </c>
      <c r="AA536" s="43"/>
      <c r="AB536" s="462">
        <f>IF('TAR_Tab 2_Volumina'!C539="storage",1,0)</f>
        <v>0</v>
      </c>
      <c r="AC536" s="389">
        <f t="shared" si="130"/>
        <v>1.1654848623214003</v>
      </c>
      <c r="AD536" s="389">
        <f t="shared" si="132"/>
        <v>1.2439116521632418</v>
      </c>
      <c r="AE536" s="43"/>
      <c r="AF536" s="1027">
        <f t="shared" si="133"/>
        <v>1.2439116521632418</v>
      </c>
      <c r="AG536" s="392">
        <f t="shared" si="134"/>
        <v>1.244</v>
      </c>
      <c r="AH536" s="392">
        <f>AG536+'TAR_Tab 14_Overige tarieven'!$AA$14+'TAR_Tab 14_Overige tarieven'!$AA$15</f>
        <v>1.4239999999999999</v>
      </c>
      <c r="AI536" s="43"/>
    </row>
    <row r="537" spans="1:35">
      <c r="A537" s="96">
        <v>301461</v>
      </c>
      <c r="B537" s="1286" t="s">
        <v>1159</v>
      </c>
      <c r="C537" s="1022"/>
      <c r="D537" s="1358"/>
      <c r="E537" s="1022"/>
      <c r="F537" s="1032">
        <v>1.2609715816996467</v>
      </c>
      <c r="G537" s="390">
        <f t="shared" si="125"/>
        <v>1.1999405571453838</v>
      </c>
      <c r="H537" s="390">
        <f t="shared" si="126"/>
        <v>1.2279843745283108</v>
      </c>
      <c r="I537" s="43"/>
      <c r="J537" s="388">
        <f t="shared" si="127"/>
        <v>1.1665851558018951</v>
      </c>
      <c r="K537" s="388">
        <f t="shared" si="128"/>
        <v>1.2893835932547264</v>
      </c>
      <c r="L537" s="1316">
        <v>1.2374783135642158</v>
      </c>
      <c r="M537" s="61" t="b">
        <f t="shared" si="123"/>
        <v>1</v>
      </c>
      <c r="N537" s="857">
        <f t="shared" si="129"/>
        <v>1.2374783135642158</v>
      </c>
      <c r="P537" s="445">
        <f t="shared" si="135"/>
        <v>-5.7391594570066921E-2</v>
      </c>
      <c r="Q537" s="445">
        <f t="shared" si="137"/>
        <v>5.9385007566229442E-2</v>
      </c>
      <c r="R537" s="445">
        <f t="shared" si="136"/>
        <v>0</v>
      </c>
      <c r="S537" s="445">
        <f t="shared" si="136"/>
        <v>2.2371818167019964E-3</v>
      </c>
      <c r="T537" s="445">
        <f t="shared" si="136"/>
        <v>5.1812706203965046E-2</v>
      </c>
      <c r="U537" s="445">
        <f t="shared" si="136"/>
        <v>-6.7807597099289445E-3</v>
      </c>
      <c r="V537" s="445">
        <f t="shared" si="136"/>
        <v>-2.5509983624291915E-4</v>
      </c>
      <c r="W537" s="445">
        <f t="shared" si="136"/>
        <v>-2.1092284112736927E-2</v>
      </c>
      <c r="X537" s="445">
        <f t="shared" si="136"/>
        <v>1.6642536758134107E-3</v>
      </c>
      <c r="Y537" s="43"/>
      <c r="Z537" s="388">
        <f t="shared" si="131"/>
        <v>1.26705772459795</v>
      </c>
      <c r="AA537" s="43"/>
      <c r="AB537" s="462">
        <f>IF('TAR_Tab 2_Volumina'!C540="storage",1,0)</f>
        <v>0</v>
      </c>
      <c r="AC537" s="389">
        <f t="shared" si="130"/>
        <v>1.26705772459795</v>
      </c>
      <c r="AD537" s="389">
        <f t="shared" si="132"/>
        <v>1.3523194668110567</v>
      </c>
      <c r="AE537" s="43"/>
      <c r="AF537" s="1027">
        <f t="shared" si="133"/>
        <v>1.3523194668110567</v>
      </c>
      <c r="AG537" s="392">
        <f t="shared" si="134"/>
        <v>1.3520000000000001</v>
      </c>
      <c r="AH537" s="392">
        <f>AG537+'TAR_Tab 14_Overige tarieven'!$AA$14+'TAR_Tab 14_Overige tarieven'!$AA$15</f>
        <v>1.532</v>
      </c>
      <c r="AI537" s="43"/>
    </row>
    <row r="538" spans="1:35">
      <c r="A538" s="96">
        <v>301464</v>
      </c>
      <c r="B538" s="1286" t="s">
        <v>838</v>
      </c>
      <c r="C538" s="1022"/>
      <c r="D538" s="1358"/>
      <c r="E538" s="1022"/>
      <c r="F538" s="1032">
        <v>1.8078440030422742</v>
      </c>
      <c r="G538" s="390">
        <f t="shared" si="125"/>
        <v>1.7203443532950282</v>
      </c>
      <c r="H538" s="390">
        <f t="shared" si="126"/>
        <v>1.7605505306696214</v>
      </c>
      <c r="I538" s="43"/>
      <c r="J538" s="388">
        <f t="shared" si="127"/>
        <v>1.6725230041361403</v>
      </c>
      <c r="K538" s="388">
        <f t="shared" si="128"/>
        <v>1.8485780572031025</v>
      </c>
      <c r="L538" s="1316">
        <v>1.7741619085947093</v>
      </c>
      <c r="M538" s="61" t="b">
        <f t="shared" si="123"/>
        <v>1</v>
      </c>
      <c r="N538" s="857">
        <f t="shared" si="129"/>
        <v>1.7741619085947093</v>
      </c>
      <c r="P538" s="445">
        <f t="shared" si="135"/>
        <v>-8.2281830593421465E-2</v>
      </c>
      <c r="Q538" s="445">
        <f t="shared" si="137"/>
        <v>8.5139769489904329E-2</v>
      </c>
      <c r="R538" s="445">
        <f t="shared" si="136"/>
        <v>0</v>
      </c>
      <c r="S538" s="445">
        <f t="shared" si="136"/>
        <v>3.2074281369516909E-3</v>
      </c>
      <c r="T538" s="445">
        <f t="shared" si="136"/>
        <v>7.428342680488792E-2</v>
      </c>
      <c r="U538" s="445">
        <f t="shared" si="136"/>
        <v>-9.7215162939220025E-3</v>
      </c>
      <c r="V538" s="445">
        <f t="shared" si="136"/>
        <v>-3.6573441925408684E-4</v>
      </c>
      <c r="W538" s="445">
        <f t="shared" si="136"/>
        <v>-3.0239824510777849E-2</v>
      </c>
      <c r="X538" s="445">
        <f t="shared" si="136"/>
        <v>2.3860260381958292E-3</v>
      </c>
      <c r="Y538" s="43"/>
      <c r="Z538" s="388">
        <f t="shared" si="131"/>
        <v>1.8165696532472737</v>
      </c>
      <c r="AA538" s="43"/>
      <c r="AB538" s="462">
        <f>IF('TAR_Tab 2_Volumina'!C541="storage",1,0)</f>
        <v>0</v>
      </c>
      <c r="AC538" s="389">
        <f t="shared" si="130"/>
        <v>1.8165696532472737</v>
      </c>
      <c r="AD538" s="389">
        <f t="shared" si="132"/>
        <v>1.9388086724178233</v>
      </c>
      <c r="AE538" s="43"/>
      <c r="AF538" s="1027">
        <f t="shared" si="133"/>
        <v>1.9388086724178233</v>
      </c>
      <c r="AG538" s="392">
        <f t="shared" si="134"/>
        <v>1.9390000000000001</v>
      </c>
      <c r="AH538" s="392">
        <f>AG538+'TAR_Tab 14_Overige tarieven'!$AA$14+'TAR_Tab 14_Overige tarieven'!$AA$15</f>
        <v>2.1189999999999998</v>
      </c>
      <c r="AI538" s="43"/>
    </row>
    <row r="539" spans="1:35">
      <c r="A539" s="96">
        <v>301465</v>
      </c>
      <c r="B539" s="1286" t="s">
        <v>839</v>
      </c>
      <c r="C539" s="1022"/>
      <c r="D539" s="1358"/>
      <c r="E539" s="1022"/>
      <c r="F539" s="1032">
        <v>1.8831983702235828</v>
      </c>
      <c r="G539" s="390">
        <f t="shared" si="125"/>
        <v>1.7920515691047614</v>
      </c>
      <c r="H539" s="390">
        <f t="shared" si="126"/>
        <v>1.8339336162157607</v>
      </c>
      <c r="I539" s="43"/>
      <c r="J539" s="388">
        <f t="shared" si="127"/>
        <v>1.7422369354049725</v>
      </c>
      <c r="K539" s="388">
        <f t="shared" si="128"/>
        <v>1.9256302970265489</v>
      </c>
      <c r="L539" s="1316">
        <v>1.8481123421909484</v>
      </c>
      <c r="M539" s="61" t="b">
        <f t="shared" si="123"/>
        <v>1</v>
      </c>
      <c r="N539" s="857">
        <f t="shared" si="129"/>
        <v>1.8481123421909484</v>
      </c>
      <c r="P539" s="445">
        <f t="shared" si="135"/>
        <v>-8.5711493365459829E-2</v>
      </c>
      <c r="Q539" s="445">
        <f t="shared" si="137"/>
        <v>8.8688556576111896E-2</v>
      </c>
      <c r="R539" s="445">
        <f t="shared" si="136"/>
        <v>0</v>
      </c>
      <c r="S539" s="445">
        <f t="shared" si="136"/>
        <v>3.3411198255779168E-3</v>
      </c>
      <c r="T539" s="445">
        <f t="shared" si="136"/>
        <v>7.7379700935577111E-2</v>
      </c>
      <c r="U539" s="445">
        <f t="shared" si="136"/>
        <v>-1.0126727532910823E-2</v>
      </c>
      <c r="V539" s="445">
        <f t="shared" si="136"/>
        <v>-3.809789235768808E-4</v>
      </c>
      <c r="W539" s="445">
        <f t="shared" si="136"/>
        <v>-3.1500277755553863E-2</v>
      </c>
      <c r="X539" s="445">
        <f t="shared" si="136"/>
        <v>2.4854801293031394E-3</v>
      </c>
      <c r="Y539" s="43"/>
      <c r="Z539" s="388">
        <f t="shared" si="131"/>
        <v>1.8922877220800172</v>
      </c>
      <c r="AA539" s="43"/>
      <c r="AB539" s="462">
        <f>IF('TAR_Tab 2_Volumina'!C542="storage",1,0)</f>
        <v>0</v>
      </c>
      <c r="AC539" s="389">
        <f t="shared" si="130"/>
        <v>1.8922877220800172</v>
      </c>
      <c r="AD539" s="389">
        <f t="shared" si="132"/>
        <v>2.0196218954336489</v>
      </c>
      <c r="AE539" s="43"/>
      <c r="AF539" s="1027">
        <f t="shared" si="133"/>
        <v>2.0196218954336489</v>
      </c>
      <c r="AG539" s="392">
        <f t="shared" si="134"/>
        <v>2.02</v>
      </c>
      <c r="AH539" s="392">
        <f>AG539+'TAR_Tab 14_Overige tarieven'!$AA$14+'TAR_Tab 14_Overige tarieven'!$AA$15</f>
        <v>2.2000000000000002</v>
      </c>
      <c r="AI539" s="43"/>
    </row>
    <row r="540" spans="1:35">
      <c r="A540" s="96">
        <v>301466</v>
      </c>
      <c r="B540" s="1286" t="s">
        <v>840</v>
      </c>
      <c r="C540" s="1022"/>
      <c r="D540" s="1358"/>
      <c r="E540" s="1022"/>
      <c r="F540" s="1032">
        <v>2.1037087781235271</v>
      </c>
      <c r="G540" s="390">
        <f t="shared" si="125"/>
        <v>2.0018892732623486</v>
      </c>
      <c r="H540" s="390">
        <f t="shared" si="126"/>
        <v>2.0486754385152062</v>
      </c>
      <c r="I540" s="43"/>
      <c r="J540" s="388">
        <f t="shared" si="127"/>
        <v>1.9462416665894458</v>
      </c>
      <c r="K540" s="388">
        <f t="shared" si="128"/>
        <v>2.1511092104409664</v>
      </c>
      <c r="L540" s="1316">
        <v>2.0645144020403654</v>
      </c>
      <c r="M540" s="61" t="b">
        <f t="shared" si="123"/>
        <v>1</v>
      </c>
      <c r="N540" s="857">
        <f t="shared" si="129"/>
        <v>2.0645144020403654</v>
      </c>
      <c r="P540" s="445">
        <f t="shared" si="135"/>
        <v>-9.5747757554392313E-2</v>
      </c>
      <c r="Q540" s="445">
        <f t="shared" si="137"/>
        <v>9.9073415705070195E-2</v>
      </c>
      <c r="R540" s="445">
        <f t="shared" si="136"/>
        <v>0</v>
      </c>
      <c r="S540" s="445">
        <f t="shared" si="136"/>
        <v>3.7323434519520773E-3</v>
      </c>
      <c r="T540" s="445">
        <f t="shared" si="136"/>
        <v>8.6440365858759916E-2</v>
      </c>
      <c r="U540" s="445">
        <f t="shared" si="136"/>
        <v>-1.1312502146080572E-2</v>
      </c>
      <c r="V540" s="445">
        <f t="shared" si="136"/>
        <v>-4.2558910334739844E-4</v>
      </c>
      <c r="W540" s="445">
        <f t="shared" si="136"/>
        <v>-3.51887575284065E-2</v>
      </c>
      <c r="X540" s="445">
        <f t="shared" si="136"/>
        <v>2.7765138545897501E-3</v>
      </c>
      <c r="Y540" s="43"/>
      <c r="Z540" s="388">
        <f t="shared" si="131"/>
        <v>2.1138624345785106</v>
      </c>
      <c r="AA540" s="43"/>
      <c r="AB540" s="462">
        <f>IF('TAR_Tab 2_Volumina'!C543="storage",1,0)</f>
        <v>0</v>
      </c>
      <c r="AC540" s="389">
        <f t="shared" si="130"/>
        <v>2.1138624345785106</v>
      </c>
      <c r="AD540" s="389">
        <f t="shared" si="132"/>
        <v>2.2561066200422726</v>
      </c>
      <c r="AE540" s="43"/>
      <c r="AF540" s="1027">
        <f t="shared" si="133"/>
        <v>2.2561066200422726</v>
      </c>
      <c r="AG540" s="392">
        <f t="shared" si="134"/>
        <v>2.2559999999999998</v>
      </c>
      <c r="AH540" s="392">
        <f>AG540+'TAR_Tab 14_Overige tarieven'!$AA$14+'TAR_Tab 14_Overige tarieven'!$AA$15</f>
        <v>2.4359999999999999</v>
      </c>
      <c r="AI540" s="43"/>
    </row>
    <row r="541" spans="1:35">
      <c r="A541" s="96">
        <v>301467</v>
      </c>
      <c r="B541" s="1286" t="s">
        <v>841</v>
      </c>
      <c r="C541" s="1022"/>
      <c r="D541" s="1358"/>
      <c r="E541" s="1022"/>
      <c r="F541" s="1032">
        <v>2.111567969627842</v>
      </c>
      <c r="G541" s="390">
        <f t="shared" si="125"/>
        <v>2.0093680798978544</v>
      </c>
      <c r="H541" s="390">
        <f t="shared" si="126"/>
        <v>2.0563290323818619</v>
      </c>
      <c r="I541" s="43"/>
      <c r="J541" s="388">
        <f t="shared" si="127"/>
        <v>1.9535125807627687</v>
      </c>
      <c r="K541" s="388">
        <f t="shared" si="128"/>
        <v>2.159145484000955</v>
      </c>
      <c r="L541" s="1316">
        <v>2.0722271682833826</v>
      </c>
      <c r="M541" s="61" t="b">
        <f t="shared" si="123"/>
        <v>1</v>
      </c>
      <c r="N541" s="857">
        <f t="shared" si="129"/>
        <v>2.0722271682833826</v>
      </c>
      <c r="P541" s="445">
        <f t="shared" si="135"/>
        <v>-9.6105459138639077E-2</v>
      </c>
      <c r="Q541" s="445">
        <f t="shared" si="137"/>
        <v>9.9443541530046406E-2</v>
      </c>
      <c r="R541" s="445">
        <f t="shared" si="136"/>
        <v>0</v>
      </c>
      <c r="S541" s="445">
        <f t="shared" si="136"/>
        <v>3.7462870178361961E-3</v>
      </c>
      <c r="T541" s="445">
        <f t="shared" si="136"/>
        <v>8.676329619781234E-2</v>
      </c>
      <c r="U541" s="445">
        <f t="shared" si="136"/>
        <v>-1.1354764231823408E-2</v>
      </c>
      <c r="V541" s="445">
        <f t="shared" si="136"/>
        <v>-4.2717905072991595E-4</v>
      </c>
      <c r="W541" s="445">
        <f t="shared" si="136"/>
        <v>-3.5320218302393146E-2</v>
      </c>
      <c r="X541" s="445">
        <f t="shared" si="136"/>
        <v>2.7868865612706941E-3</v>
      </c>
      <c r="Y541" s="43"/>
      <c r="Z541" s="388">
        <f t="shared" si="131"/>
        <v>2.1217595588667626</v>
      </c>
      <c r="AA541" s="43"/>
      <c r="AB541" s="462">
        <f>IF('TAR_Tab 2_Volumina'!C544="storage",1,0)</f>
        <v>0</v>
      </c>
      <c r="AC541" s="389">
        <f t="shared" si="130"/>
        <v>2.1217595588667626</v>
      </c>
      <c r="AD541" s="389">
        <f t="shared" si="132"/>
        <v>2.264535150723634</v>
      </c>
      <c r="AE541" s="43"/>
      <c r="AF541" s="1027">
        <f t="shared" si="133"/>
        <v>2.264535150723634</v>
      </c>
      <c r="AG541" s="392">
        <f t="shared" si="134"/>
        <v>2.2650000000000001</v>
      </c>
      <c r="AH541" s="392">
        <f>AG541+'TAR_Tab 14_Overige tarieven'!$AA$14+'TAR_Tab 14_Overige tarieven'!$AA$15</f>
        <v>2.4450000000000003</v>
      </c>
      <c r="AI541" s="43"/>
    </row>
    <row r="542" spans="1:35">
      <c r="A542" s="96">
        <v>301470</v>
      </c>
      <c r="B542" s="1286" t="s">
        <v>408</v>
      </c>
      <c r="C542" s="1022"/>
      <c r="D542" s="1358"/>
      <c r="E542" s="1022"/>
      <c r="F542" s="1032">
        <v>1.2453120226023722</v>
      </c>
      <c r="G542" s="390">
        <f t="shared" si="125"/>
        <v>1.1850389207084173</v>
      </c>
      <c r="H542" s="390">
        <f t="shared" si="126"/>
        <v>1.2127344718639412</v>
      </c>
      <c r="I542" s="43"/>
      <c r="J542" s="388">
        <f t="shared" si="127"/>
        <v>1.1520977482707442</v>
      </c>
      <c r="K542" s="388">
        <f t="shared" si="128"/>
        <v>1.2733711954571383</v>
      </c>
      <c r="L542" s="1316">
        <v>1.2221105090362703</v>
      </c>
      <c r="M542" s="61" t="b">
        <f t="shared" ref="M542:M557" si="138">IF(L542&gt;0,AND(L542&gt;=J542,L542&lt;=K542),"")</f>
        <v>1</v>
      </c>
      <c r="N542" s="857">
        <f t="shared" si="129"/>
        <v>1.2221105090362703</v>
      </c>
      <c r="P542" s="445">
        <f t="shared" si="135"/>
        <v>-5.6678868700665963E-2</v>
      </c>
      <c r="Q542" s="445">
        <f t="shared" si="137"/>
        <v>5.8647526207433069E-2</v>
      </c>
      <c r="R542" s="445">
        <f t="shared" si="136"/>
        <v>0</v>
      </c>
      <c r="S542" s="445">
        <f t="shared" si="136"/>
        <v>2.2093990487328944E-3</v>
      </c>
      <c r="T542" s="445">
        <f t="shared" si="136"/>
        <v>5.1169262571637439E-2</v>
      </c>
      <c r="U542" s="445">
        <f t="shared" si="136"/>
        <v>-6.6965518586632354E-3</v>
      </c>
      <c r="V542" s="445">
        <f t="shared" si="136"/>
        <v>-2.5193184180170695E-4</v>
      </c>
      <c r="W542" s="445">
        <f t="shared" si="136"/>
        <v>-2.0830346512910363E-2</v>
      </c>
      <c r="X542" s="445">
        <f t="shared" si="136"/>
        <v>1.6435858993405037E-3</v>
      </c>
      <c r="Y542" s="43"/>
      <c r="Z542" s="388">
        <f t="shared" si="131"/>
        <v>1.2513225838493729</v>
      </c>
      <c r="AA542" s="43"/>
      <c r="AB542" s="462">
        <f>IF('TAR_Tab 2_Volumina'!C545="storage",1,0)</f>
        <v>0</v>
      </c>
      <c r="AC542" s="389">
        <f t="shared" si="130"/>
        <v>1.2513225838493729</v>
      </c>
      <c r="AD542" s="389">
        <f t="shared" si="132"/>
        <v>1.3355254907086145</v>
      </c>
      <c r="AE542" s="43"/>
      <c r="AF542" s="1027">
        <f t="shared" si="133"/>
        <v>1.3355254907086145</v>
      </c>
      <c r="AG542" s="392">
        <f t="shared" si="134"/>
        <v>1.3360000000000001</v>
      </c>
      <c r="AH542" s="392">
        <f>AG542+'TAR_Tab 14_Overige tarieven'!$AA$14+'TAR_Tab 14_Overige tarieven'!$AA$15</f>
        <v>1.516</v>
      </c>
      <c r="AI542" s="43"/>
    </row>
    <row r="543" spans="1:35">
      <c r="A543" s="96">
        <v>301471</v>
      </c>
      <c r="B543" s="1286" t="s">
        <v>1207</v>
      </c>
      <c r="C543" s="1022"/>
      <c r="D543" s="1358"/>
      <c r="E543" s="1022"/>
      <c r="F543" s="1032">
        <v>1.5555137500072522</v>
      </c>
      <c r="G543" s="390">
        <f t="shared" si="125"/>
        <v>1.4802268845069013</v>
      </c>
      <c r="H543" s="390">
        <f t="shared" si="126"/>
        <v>1.514821275193357</v>
      </c>
      <c r="I543" s="43"/>
      <c r="J543" s="388">
        <f t="shared" si="127"/>
        <v>1.4390802114336891</v>
      </c>
      <c r="K543" s="388">
        <f t="shared" si="128"/>
        <v>1.5905623389530248</v>
      </c>
      <c r="L543" s="1316">
        <v>1.5265328418348314</v>
      </c>
      <c r="M543" s="61" t="b">
        <f t="shared" si="138"/>
        <v>1</v>
      </c>
      <c r="N543" s="857">
        <f t="shared" si="129"/>
        <v>1.5265328418348314</v>
      </c>
      <c r="P543" s="445">
        <f t="shared" si="135"/>
        <v>-7.0797324685343208E-2</v>
      </c>
      <c r="Q543" s="445">
        <f t="shared" si="137"/>
        <v>7.3256366086414629E-2</v>
      </c>
      <c r="R543" s="445">
        <f t="shared" si="136"/>
        <v>0</v>
      </c>
      <c r="S543" s="445">
        <f t="shared" si="136"/>
        <v>2.7597505983882357E-3</v>
      </c>
      <c r="T543" s="445">
        <f t="shared" si="136"/>
        <v>6.3915299991709792E-2</v>
      </c>
      <c r="U543" s="445">
        <f t="shared" si="136"/>
        <v>-8.3646333647525509E-3</v>
      </c>
      <c r="V543" s="445">
        <f t="shared" si="136"/>
        <v>-3.1468695144231762E-4</v>
      </c>
      <c r="W543" s="445">
        <f t="shared" si="136"/>
        <v>-2.6019093873787816E-2</v>
      </c>
      <c r="X543" s="445">
        <f t="shared" si="136"/>
        <v>2.0529958912622799E-3</v>
      </c>
      <c r="Y543" s="43"/>
      <c r="Z543" s="388">
        <f t="shared" si="131"/>
        <v>1.5630215155272804</v>
      </c>
      <c r="AA543" s="43"/>
      <c r="AB543" s="462">
        <f>IF('TAR_Tab 2_Volumina'!C546="storage",1,0)</f>
        <v>0</v>
      </c>
      <c r="AC543" s="389">
        <f t="shared" si="130"/>
        <v>1.5630215155272804</v>
      </c>
      <c r="AD543" s="389">
        <f t="shared" si="132"/>
        <v>1.6681989947717346</v>
      </c>
      <c r="AE543" s="43"/>
      <c r="AF543" s="1027">
        <f t="shared" si="133"/>
        <v>1.6681989947717346</v>
      </c>
      <c r="AG543" s="392">
        <f t="shared" si="134"/>
        <v>1.6679999999999999</v>
      </c>
      <c r="AH543" s="392">
        <f>AG543+'TAR_Tab 14_Overige tarieven'!$AA$14+'TAR_Tab 14_Overige tarieven'!$AA$15</f>
        <v>1.8479999999999999</v>
      </c>
      <c r="AI543" s="43"/>
    </row>
    <row r="544" spans="1:35">
      <c r="A544" s="96">
        <v>301472</v>
      </c>
      <c r="B544" s="1286" t="s">
        <v>1208</v>
      </c>
      <c r="C544" s="1022"/>
      <c r="D544" s="1358"/>
      <c r="E544" s="1022"/>
      <c r="F544" s="1032">
        <v>1.8964635746239502</v>
      </c>
      <c r="G544" s="390">
        <f t="shared" si="125"/>
        <v>1.804674737612151</v>
      </c>
      <c r="H544" s="390">
        <f t="shared" si="126"/>
        <v>1.8468518008639976</v>
      </c>
      <c r="I544" s="43"/>
      <c r="J544" s="388">
        <f t="shared" si="127"/>
        <v>1.7545092108207976</v>
      </c>
      <c r="K544" s="388">
        <f t="shared" si="128"/>
        <v>1.9391943909071976</v>
      </c>
      <c r="L544" s="1316">
        <v>1.8611304014467527</v>
      </c>
      <c r="M544" s="61" t="b">
        <f t="shared" si="138"/>
        <v>1</v>
      </c>
      <c r="N544" s="857">
        <f t="shared" si="129"/>
        <v>1.8611304014467527</v>
      </c>
      <c r="P544" s="445">
        <f t="shared" si="135"/>
        <v>-8.6315243080270054E-2</v>
      </c>
      <c r="Q544" s="445">
        <f t="shared" si="137"/>
        <v>8.9313276653166754E-2</v>
      </c>
      <c r="R544" s="445">
        <f t="shared" si="136"/>
        <v>0</v>
      </c>
      <c r="S544" s="445">
        <f t="shared" si="136"/>
        <v>3.3646545939343426E-3</v>
      </c>
      <c r="T544" s="445">
        <f t="shared" si="136"/>
        <v>7.7924761703247511E-2</v>
      </c>
      <c r="U544" s="445">
        <f t="shared" si="136"/>
        <v>-1.01980599601022E-2</v>
      </c>
      <c r="V544" s="445">
        <f t="shared" si="136"/>
        <v>-3.8366253002715574E-4</v>
      </c>
      <c r="W544" s="445">
        <f t="shared" si="136"/>
        <v>-3.172216496069527E-2</v>
      </c>
      <c r="X544" s="445">
        <f t="shared" si="136"/>
        <v>2.5029877920483782E-3</v>
      </c>
      <c r="Y544" s="43"/>
      <c r="Z544" s="388">
        <f t="shared" si="131"/>
        <v>1.905616951658055</v>
      </c>
      <c r="AA544" s="43"/>
      <c r="AB544" s="462">
        <f>IF('TAR_Tab 2_Volumina'!C547="storage",1,0)</f>
        <v>0</v>
      </c>
      <c r="AC544" s="389">
        <f t="shared" si="130"/>
        <v>1.905616951658055</v>
      </c>
      <c r="AD544" s="389">
        <f t="shared" si="132"/>
        <v>2.0338480638915173</v>
      </c>
      <c r="AE544" s="43"/>
      <c r="AF544" s="1027">
        <f t="shared" si="133"/>
        <v>2.0338480638915173</v>
      </c>
      <c r="AG544" s="392">
        <f t="shared" si="134"/>
        <v>2.0339999999999998</v>
      </c>
      <c r="AH544" s="392">
        <f>AG544+'TAR_Tab 14_Overige tarieven'!$AA$14+'TAR_Tab 14_Overige tarieven'!$AA$15</f>
        <v>2.214</v>
      </c>
      <c r="AI544" s="43"/>
    </row>
    <row r="545" spans="1:35">
      <c r="A545" s="96">
        <v>301473</v>
      </c>
      <c r="B545" s="1286" t="s">
        <v>1209</v>
      </c>
      <c r="C545" s="1022"/>
      <c r="D545" s="1358"/>
      <c r="E545" s="1022"/>
      <c r="F545" s="1032">
        <v>1.4258435767128403</v>
      </c>
      <c r="G545" s="390">
        <f t="shared" si="125"/>
        <v>1.3568327475999389</v>
      </c>
      <c r="H545" s="390">
        <f t="shared" si="126"/>
        <v>1.3885432932317903</v>
      </c>
      <c r="I545" s="43"/>
      <c r="J545" s="388">
        <f t="shared" si="127"/>
        <v>1.3191161285702007</v>
      </c>
      <c r="K545" s="388">
        <f t="shared" si="128"/>
        <v>1.4579704578933799</v>
      </c>
      <c r="L545" s="1316">
        <v>1.3992785645007926</v>
      </c>
      <c r="M545" s="61" t="b">
        <f t="shared" si="138"/>
        <v>1</v>
      </c>
      <c r="N545" s="857">
        <f t="shared" si="129"/>
        <v>1.3992785645007926</v>
      </c>
      <c r="P545" s="445">
        <f t="shared" si="135"/>
        <v>-6.4895543771682759E-2</v>
      </c>
      <c r="Q545" s="445">
        <f t="shared" si="137"/>
        <v>6.7149595454975355E-2</v>
      </c>
      <c r="R545" s="445">
        <f t="shared" si="136"/>
        <v>0</v>
      </c>
      <c r="S545" s="445">
        <f t="shared" si="136"/>
        <v>2.529693269521364E-3</v>
      </c>
      <c r="T545" s="445">
        <f t="shared" si="136"/>
        <v>5.8587215925560786E-2</v>
      </c>
      <c r="U545" s="445">
        <f t="shared" si="136"/>
        <v>-7.6673438307020636E-3</v>
      </c>
      <c r="V545" s="445">
        <f t="shared" si="136"/>
        <v>-2.8845413188233285E-4</v>
      </c>
      <c r="W545" s="445">
        <f t="shared" si="136"/>
        <v>-2.3850099603205568E-2</v>
      </c>
      <c r="X545" s="445">
        <f t="shared" si="136"/>
        <v>1.8818547920650185E-3</v>
      </c>
      <c r="Y545" s="43"/>
      <c r="Z545" s="388">
        <f t="shared" si="131"/>
        <v>1.4327254826054423</v>
      </c>
      <c r="AA545" s="43"/>
      <c r="AB545" s="462">
        <f>IF('TAR_Tab 2_Volumina'!C548="storage",1,0)</f>
        <v>0</v>
      </c>
      <c r="AC545" s="389">
        <f t="shared" si="130"/>
        <v>1.4327254826054423</v>
      </c>
      <c r="AD545" s="389">
        <f t="shared" si="132"/>
        <v>1.5291351949560108</v>
      </c>
      <c r="AE545" s="43"/>
      <c r="AF545" s="1027">
        <f t="shared" si="133"/>
        <v>1.5291351949560108</v>
      </c>
      <c r="AG545" s="392">
        <f t="shared" si="134"/>
        <v>1.5289999999999999</v>
      </c>
      <c r="AH545" s="392">
        <f>AG545+'TAR_Tab 14_Overige tarieven'!$AA$14+'TAR_Tab 14_Overige tarieven'!$AA$15</f>
        <v>1.7089999999999999</v>
      </c>
      <c r="AI545" s="43"/>
    </row>
    <row r="546" spans="1:35">
      <c r="A546" s="96">
        <v>301474</v>
      </c>
      <c r="B546" s="1286" t="s">
        <v>1210</v>
      </c>
      <c r="C546" s="1022"/>
      <c r="D546" s="1358"/>
      <c r="E546" s="1022"/>
      <c r="F546" s="1032">
        <v>0.33897075057042647</v>
      </c>
      <c r="G546" s="390">
        <f t="shared" si="125"/>
        <v>0.32256456624281782</v>
      </c>
      <c r="H546" s="390">
        <f t="shared" si="126"/>
        <v>0.33010322450055402</v>
      </c>
      <c r="I546" s="43"/>
      <c r="J546" s="388">
        <f t="shared" si="127"/>
        <v>0.31359806327552631</v>
      </c>
      <c r="K546" s="388">
        <f t="shared" si="128"/>
        <v>0.34660838572558172</v>
      </c>
      <c r="L546" s="1316">
        <v>0.33265535786150802</v>
      </c>
      <c r="M546" s="61" t="b">
        <f t="shared" si="138"/>
        <v>1</v>
      </c>
      <c r="N546" s="857">
        <f t="shared" si="129"/>
        <v>0.33265535786150802</v>
      </c>
      <c r="P546" s="445">
        <f t="shared" si="135"/>
        <v>-1.5427843236266526E-2</v>
      </c>
      <c r="Q546" s="445">
        <f t="shared" si="137"/>
        <v>1.5963706779357063E-2</v>
      </c>
      <c r="R546" s="445">
        <f t="shared" si="136"/>
        <v>0</v>
      </c>
      <c r="S546" s="445">
        <f t="shared" si="136"/>
        <v>6.0139277567844201E-4</v>
      </c>
      <c r="T546" s="445">
        <f t="shared" si="136"/>
        <v>1.3928142525916487E-2</v>
      </c>
      <c r="U546" s="445">
        <f t="shared" si="136"/>
        <v>-1.8227843051103754E-3</v>
      </c>
      <c r="V546" s="445">
        <f t="shared" si="136"/>
        <v>-6.857520361014128E-5</v>
      </c>
      <c r="W546" s="445">
        <f t="shared" si="136"/>
        <v>-5.6699670957708476E-3</v>
      </c>
      <c r="X546" s="445">
        <f t="shared" si="136"/>
        <v>4.4737988216171794E-4</v>
      </c>
      <c r="Y546" s="43"/>
      <c r="Z546" s="388">
        <f t="shared" si="131"/>
        <v>0.34060680998386383</v>
      </c>
      <c r="AA546" s="43"/>
      <c r="AB546" s="462">
        <f>IF('TAR_Tab 2_Volumina'!C549="storage",1,0)</f>
        <v>0</v>
      </c>
      <c r="AC546" s="389">
        <f t="shared" si="130"/>
        <v>0.34060680998386383</v>
      </c>
      <c r="AD546" s="389">
        <f t="shared" si="132"/>
        <v>0.36352662607834185</v>
      </c>
      <c r="AE546" s="43"/>
      <c r="AF546" s="1027">
        <f t="shared" si="133"/>
        <v>0.36352662607834185</v>
      </c>
      <c r="AG546" s="392">
        <f t="shared" si="134"/>
        <v>0.36399999999999999</v>
      </c>
      <c r="AH546" s="392">
        <f>AG546+'TAR_Tab 14_Overige tarieven'!$AA$14+'TAR_Tab 14_Overige tarieven'!$AA$15</f>
        <v>0.54400000000000004</v>
      </c>
      <c r="AI546" s="43"/>
    </row>
    <row r="547" spans="1:35">
      <c r="A547" s="96">
        <v>301475</v>
      </c>
      <c r="B547" s="1286" t="s">
        <v>1211</v>
      </c>
      <c r="C547" s="1022"/>
      <c r="D547" s="1358"/>
      <c r="E547" s="1022"/>
      <c r="F547" s="1032">
        <v>1.0934487228457852</v>
      </c>
      <c r="G547" s="390">
        <f t="shared" si="125"/>
        <v>1.0405258046600492</v>
      </c>
      <c r="H547" s="390">
        <f t="shared" si="126"/>
        <v>1.0648439389829099</v>
      </c>
      <c r="I547" s="43"/>
      <c r="J547" s="388">
        <f t="shared" si="127"/>
        <v>1.0116017420337644</v>
      </c>
      <c r="K547" s="388">
        <f t="shared" si="128"/>
        <v>1.1180861359320553</v>
      </c>
      <c r="L547" s="1316">
        <v>1.073076587255279</v>
      </c>
      <c r="M547" s="61" t="b">
        <f t="shared" si="138"/>
        <v>1</v>
      </c>
      <c r="N547" s="857">
        <f t="shared" si="129"/>
        <v>1.073076587255279</v>
      </c>
      <c r="P547" s="445">
        <f t="shared" si="135"/>
        <v>-4.9766994510801334E-2</v>
      </c>
      <c r="Q547" s="445">
        <f t="shared" si="137"/>
        <v>5.1495578188968064E-2</v>
      </c>
      <c r="R547" s="445">
        <f t="shared" si="136"/>
        <v>0</v>
      </c>
      <c r="S547" s="445">
        <f t="shared" si="136"/>
        <v>1.9399672726560203E-3</v>
      </c>
      <c r="T547" s="445">
        <f t="shared" si="136"/>
        <v>4.4929273782320769E-2</v>
      </c>
      <c r="U547" s="445">
        <f t="shared" si="136"/>
        <v>-5.879920810548462E-3</v>
      </c>
      <c r="V547" s="445">
        <f t="shared" si="136"/>
        <v>-2.2120925973764718E-4</v>
      </c>
      <c r="W547" s="445">
        <f t="shared" si="136"/>
        <v>-1.8290127596599669E-2</v>
      </c>
      <c r="X547" s="445">
        <f t="shared" si="136"/>
        <v>1.4431539003097328E-3</v>
      </c>
      <c r="Y547" s="43"/>
      <c r="Z547" s="388">
        <f t="shared" si="131"/>
        <v>1.0987263082218464</v>
      </c>
      <c r="AA547" s="43"/>
      <c r="AB547" s="462">
        <f>IF('TAR_Tab 2_Volumina'!C550="storage",1,0)</f>
        <v>0</v>
      </c>
      <c r="AC547" s="389">
        <f t="shared" si="130"/>
        <v>1.0987263082218464</v>
      </c>
      <c r="AD547" s="389">
        <f t="shared" si="132"/>
        <v>1.1726608397240279</v>
      </c>
      <c r="AE547" s="43"/>
      <c r="AF547" s="1027">
        <f t="shared" si="133"/>
        <v>1.1726608397240279</v>
      </c>
      <c r="AG547" s="392">
        <f t="shared" si="134"/>
        <v>1.173</v>
      </c>
      <c r="AH547" s="392">
        <f>AG547+'TAR_Tab 14_Overige tarieven'!$AA$14+'TAR_Tab 14_Overige tarieven'!$AA$15</f>
        <v>1.353</v>
      </c>
      <c r="AI547" s="43"/>
    </row>
    <row r="548" spans="1:35">
      <c r="A548" s="96">
        <v>301476</v>
      </c>
      <c r="B548" s="1286" t="s">
        <v>1212</v>
      </c>
      <c r="C548" s="1022"/>
      <c r="D548" s="1358"/>
      <c r="E548" s="1022"/>
      <c r="F548" s="1032">
        <v>1.0869062120060575</v>
      </c>
      <c r="G548" s="390">
        <f t="shared" si="125"/>
        <v>1.0342999513449644</v>
      </c>
      <c r="H548" s="390">
        <f t="shared" si="126"/>
        <v>1.0584725812156408</v>
      </c>
      <c r="I548" s="43"/>
      <c r="J548" s="388">
        <f t="shared" si="127"/>
        <v>1.0055489521548586</v>
      </c>
      <c r="K548" s="388">
        <f t="shared" si="128"/>
        <v>1.111396210276423</v>
      </c>
      <c r="L548" s="1316">
        <v>1.0666559704880803</v>
      </c>
      <c r="M548" s="61" t="b">
        <f t="shared" si="138"/>
        <v>1</v>
      </c>
      <c r="N548" s="857">
        <f t="shared" si="129"/>
        <v>1.0666559704880803</v>
      </c>
      <c r="P548" s="445">
        <f t="shared" si="135"/>
        <v>-4.9469220052571421E-2</v>
      </c>
      <c r="Q548" s="445">
        <f t="shared" si="137"/>
        <v>5.1187460970976775E-2</v>
      </c>
      <c r="R548" s="445">
        <f t="shared" si="136"/>
        <v>0</v>
      </c>
      <c r="S548" s="445">
        <f t="shared" si="136"/>
        <v>1.928359726142969E-3</v>
      </c>
      <c r="T548" s="445">
        <f t="shared" si="136"/>
        <v>4.4660445208469679E-2</v>
      </c>
      <c r="U548" s="445">
        <f t="shared" si="136"/>
        <v>-5.844739055029434E-3</v>
      </c>
      <c r="V548" s="445">
        <f t="shared" si="136"/>
        <v>-2.1988568237234094E-4</v>
      </c>
      <c r="W548" s="445">
        <f t="shared" si="136"/>
        <v>-1.818069095310593E-2</v>
      </c>
      <c r="X548" s="445">
        <f t="shared" si="136"/>
        <v>1.4345189731852137E-3</v>
      </c>
      <c r="Y548" s="43"/>
      <c r="Z548" s="388">
        <f t="shared" si="131"/>
        <v>1.0921522196237758</v>
      </c>
      <c r="AA548" s="43"/>
      <c r="AB548" s="462">
        <f>IF('TAR_Tab 2_Volumina'!C551="storage",1,0)</f>
        <v>0</v>
      </c>
      <c r="AC548" s="389">
        <f t="shared" si="130"/>
        <v>1.0921522196237758</v>
      </c>
      <c r="AD548" s="389">
        <f t="shared" si="132"/>
        <v>1.1656443732954502</v>
      </c>
      <c r="AE548" s="43"/>
      <c r="AF548" s="1027">
        <f t="shared" si="133"/>
        <v>1.1656443732954502</v>
      </c>
      <c r="AG548" s="392">
        <f t="shared" si="134"/>
        <v>1.1659999999999999</v>
      </c>
      <c r="AH548" s="392">
        <f>AG548+'TAR_Tab 14_Overige tarieven'!$AA$14+'TAR_Tab 14_Overige tarieven'!$AA$15</f>
        <v>1.3459999999999999</v>
      </c>
      <c r="AI548" s="43"/>
    </row>
    <row r="549" spans="1:35">
      <c r="A549" s="96">
        <v>301477</v>
      </c>
      <c r="B549" s="1286" t="s">
        <v>1213</v>
      </c>
      <c r="C549" s="1022"/>
      <c r="D549" s="1358"/>
      <c r="E549" s="1022"/>
      <c r="F549" s="1032">
        <v>1.0869062120060575</v>
      </c>
      <c r="G549" s="390">
        <f t="shared" si="125"/>
        <v>1.0342999513449644</v>
      </c>
      <c r="H549" s="390">
        <f t="shared" si="126"/>
        <v>1.0584725812156408</v>
      </c>
      <c r="I549" s="43"/>
      <c r="J549" s="388">
        <f t="shared" si="127"/>
        <v>1.0055489521548586</v>
      </c>
      <c r="K549" s="388">
        <f t="shared" si="128"/>
        <v>1.111396210276423</v>
      </c>
      <c r="L549" s="1316">
        <v>1.0666559704880803</v>
      </c>
      <c r="M549" s="61" t="b">
        <f t="shared" si="138"/>
        <v>1</v>
      </c>
      <c r="N549" s="857">
        <f t="shared" si="129"/>
        <v>1.0666559704880803</v>
      </c>
      <c r="P549" s="445">
        <f t="shared" si="135"/>
        <v>-4.9469220052571421E-2</v>
      </c>
      <c r="Q549" s="445">
        <f t="shared" si="137"/>
        <v>5.1187460970976775E-2</v>
      </c>
      <c r="R549" s="445">
        <f t="shared" si="136"/>
        <v>0</v>
      </c>
      <c r="S549" s="445">
        <f t="shared" si="136"/>
        <v>1.928359726142969E-3</v>
      </c>
      <c r="T549" s="445">
        <f t="shared" si="136"/>
        <v>4.4660445208469679E-2</v>
      </c>
      <c r="U549" s="445">
        <f t="shared" si="136"/>
        <v>-5.844739055029434E-3</v>
      </c>
      <c r="V549" s="445">
        <f t="shared" si="136"/>
        <v>-2.1988568237234094E-4</v>
      </c>
      <c r="W549" s="445">
        <f t="shared" si="136"/>
        <v>-1.818069095310593E-2</v>
      </c>
      <c r="X549" s="445">
        <f t="shared" si="136"/>
        <v>1.4345189731852137E-3</v>
      </c>
      <c r="Y549" s="43"/>
      <c r="Z549" s="388">
        <f t="shared" si="131"/>
        <v>1.0921522196237758</v>
      </c>
      <c r="AA549" s="43"/>
      <c r="AB549" s="462">
        <f>IF('TAR_Tab 2_Volumina'!C552="storage",1,0)</f>
        <v>0</v>
      </c>
      <c r="AC549" s="389">
        <f t="shared" si="130"/>
        <v>1.0921522196237758</v>
      </c>
      <c r="AD549" s="389">
        <f t="shared" si="132"/>
        <v>1.1656443732954502</v>
      </c>
      <c r="AE549" s="43"/>
      <c r="AF549" s="1027">
        <f t="shared" si="133"/>
        <v>1.1656443732954502</v>
      </c>
      <c r="AG549" s="392">
        <f t="shared" si="134"/>
        <v>1.1659999999999999</v>
      </c>
      <c r="AH549" s="392">
        <f>AG549+'TAR_Tab 14_Overige tarieven'!$AA$14+'TAR_Tab 14_Overige tarieven'!$AA$15</f>
        <v>1.3459999999999999</v>
      </c>
      <c r="AI549" s="43"/>
    </row>
    <row r="550" spans="1:35">
      <c r="A550" s="96">
        <v>301478</v>
      </c>
      <c r="B550" s="1286" t="s">
        <v>1214</v>
      </c>
      <c r="C550" s="1022"/>
      <c r="D550" s="1358"/>
      <c r="E550" s="1022"/>
      <c r="F550" s="1032">
        <v>1.1359019842124021</v>
      </c>
      <c r="G550" s="390">
        <f t="shared" si="125"/>
        <v>1.0809243281765217</v>
      </c>
      <c r="H550" s="390">
        <f t="shared" si="126"/>
        <v>1.1061866166154255</v>
      </c>
      <c r="I550" s="43"/>
      <c r="J550" s="388">
        <f t="shared" si="127"/>
        <v>1.0508772857846542</v>
      </c>
      <c r="K550" s="388">
        <f t="shared" si="128"/>
        <v>1.1614959474461968</v>
      </c>
      <c r="L550" s="1316">
        <v>1.1147388983205693</v>
      </c>
      <c r="M550" s="61" t="b">
        <f t="shared" si="138"/>
        <v>1</v>
      </c>
      <c r="N550" s="857">
        <f t="shared" si="129"/>
        <v>1.1147388983205693</v>
      </c>
      <c r="P550" s="445">
        <f t="shared" si="135"/>
        <v>-5.1699203293211704E-2</v>
      </c>
      <c r="Q550" s="445">
        <f t="shared" si="137"/>
        <v>5.3494899414010665E-2</v>
      </c>
      <c r="R550" s="445">
        <f t="shared" si="136"/>
        <v>0</v>
      </c>
      <c r="S550" s="445">
        <f t="shared" si="136"/>
        <v>2.0152867055183185E-3</v>
      </c>
      <c r="T550" s="445">
        <f t="shared" si="136"/>
        <v>4.6673657549973817E-2</v>
      </c>
      <c r="U550" s="445">
        <f t="shared" si="136"/>
        <v>-6.1082093528182476E-3</v>
      </c>
      <c r="V550" s="445">
        <f t="shared" si="136"/>
        <v>-2.2979773245168281E-4</v>
      </c>
      <c r="W550" s="445">
        <f t="shared" si="136"/>
        <v>-1.90002437191613E-2</v>
      </c>
      <c r="X550" s="445">
        <f t="shared" si="136"/>
        <v>1.4991845018752551E-3</v>
      </c>
      <c r="Y550" s="43"/>
      <c r="Z550" s="388">
        <f t="shared" si="131"/>
        <v>1.1413844723943043</v>
      </c>
      <c r="AA550" s="43"/>
      <c r="AB550" s="462">
        <f>IF('TAR_Tab 2_Volumina'!C553="storage",1,0)</f>
        <v>0</v>
      </c>
      <c r="AC550" s="389">
        <f t="shared" si="130"/>
        <v>1.1413844723943043</v>
      </c>
      <c r="AD550" s="389">
        <f t="shared" si="132"/>
        <v>1.2181895198377468</v>
      </c>
      <c r="AE550" s="43"/>
      <c r="AF550" s="1027">
        <f t="shared" si="133"/>
        <v>1.2181895198377468</v>
      </c>
      <c r="AG550" s="392">
        <f t="shared" si="134"/>
        <v>1.218</v>
      </c>
      <c r="AH550" s="392">
        <f>AG550+'TAR_Tab 14_Overige tarieven'!$AA$14+'TAR_Tab 14_Overige tarieven'!$AA$15</f>
        <v>1.3979999999999999</v>
      </c>
      <c r="AI550" s="43"/>
    </row>
    <row r="551" spans="1:35">
      <c r="A551" s="96">
        <v>301479</v>
      </c>
      <c r="B551" s="1286" t="s">
        <v>1215</v>
      </c>
      <c r="C551" s="1022"/>
      <c r="D551" s="1358"/>
      <c r="E551" s="1022"/>
      <c r="F551" s="1032">
        <v>1.1169036235609628</v>
      </c>
      <c r="G551" s="390">
        <f t="shared" si="125"/>
        <v>1.0628454881806122</v>
      </c>
      <c r="H551" s="390">
        <f t="shared" si="126"/>
        <v>1.0876852559502033</v>
      </c>
      <c r="I551" s="43"/>
      <c r="J551" s="388">
        <f t="shared" si="127"/>
        <v>1.0333009931526931</v>
      </c>
      <c r="K551" s="388">
        <f t="shared" si="128"/>
        <v>1.1420695187477135</v>
      </c>
      <c r="L551" s="1316">
        <v>1.0960944977324618</v>
      </c>
      <c r="M551" s="61" t="b">
        <f t="shared" si="138"/>
        <v>1</v>
      </c>
      <c r="N551" s="857">
        <f t="shared" si="129"/>
        <v>1.0960944977324618</v>
      </c>
      <c r="P551" s="445">
        <f t="shared" si="135"/>
        <v>-5.0834515914187944E-2</v>
      </c>
      <c r="Q551" s="445">
        <f t="shared" si="137"/>
        <v>5.2600178385079181E-2</v>
      </c>
      <c r="R551" s="445">
        <f t="shared" si="136"/>
        <v>0</v>
      </c>
      <c r="S551" s="445">
        <f t="shared" si="136"/>
        <v>1.9815803257605307E-3</v>
      </c>
      <c r="T551" s="445">
        <f t="shared" si="136"/>
        <v>4.5893024193064069E-2</v>
      </c>
      <c r="U551" s="445">
        <f t="shared" si="136"/>
        <v>-6.0060474006144249E-3</v>
      </c>
      <c r="V551" s="445">
        <f t="shared" si="136"/>
        <v>-2.2595428446173403E-4</v>
      </c>
      <c r="W551" s="445">
        <f t="shared" si="136"/>
        <v>-1.8682457952731674E-2</v>
      </c>
      <c r="X551" s="445">
        <f t="shared" si="136"/>
        <v>1.4741101131995253E-3</v>
      </c>
      <c r="Y551" s="43"/>
      <c r="Z551" s="388">
        <f t="shared" si="131"/>
        <v>1.1222944151975693</v>
      </c>
      <c r="AA551" s="43"/>
      <c r="AB551" s="462">
        <f>IF('TAR_Tab 2_Volumina'!C554="storage",1,0)</f>
        <v>0</v>
      </c>
      <c r="AC551" s="389">
        <f t="shared" si="130"/>
        <v>1.1222944151975693</v>
      </c>
      <c r="AD551" s="389">
        <f t="shared" si="132"/>
        <v>1.1978148711784897</v>
      </c>
      <c r="AE551" s="43"/>
      <c r="AF551" s="1027">
        <f t="shared" si="133"/>
        <v>1.1978148711784897</v>
      </c>
      <c r="AG551" s="392">
        <f t="shared" si="134"/>
        <v>1.198</v>
      </c>
      <c r="AH551" s="392">
        <f>AG551+'TAR_Tab 14_Overige tarieven'!$AA$14+'TAR_Tab 14_Overige tarieven'!$AA$15</f>
        <v>1.3779999999999999</v>
      </c>
      <c r="AI551" s="43"/>
    </row>
    <row r="552" spans="1:35">
      <c r="A552" s="96">
        <v>301480</v>
      </c>
      <c r="B552" s="1286" t="s">
        <v>1216</v>
      </c>
      <c r="C552" s="1022"/>
      <c r="D552" s="1358"/>
      <c r="E552" s="1022"/>
      <c r="F552" s="1032">
        <v>1.2678905950539843</v>
      </c>
      <c r="G552" s="390">
        <f t="shared" si="125"/>
        <v>1.2065246902533715</v>
      </c>
      <c r="H552" s="390">
        <f t="shared" si="126"/>
        <v>1.2347223854474998</v>
      </c>
      <c r="I552" s="43"/>
      <c r="J552" s="388">
        <f t="shared" si="127"/>
        <v>1.1729862661751247</v>
      </c>
      <c r="K552" s="388">
        <f t="shared" si="128"/>
        <v>1.2964585047198749</v>
      </c>
      <c r="L552" s="1316">
        <v>1.244268418195847</v>
      </c>
      <c r="M552" s="61" t="b">
        <f t="shared" si="138"/>
        <v>1</v>
      </c>
      <c r="N552" s="857">
        <f t="shared" si="129"/>
        <v>1.244268418195847</v>
      </c>
      <c r="P552" s="445">
        <f t="shared" si="135"/>
        <v>-5.7706505084324344E-2</v>
      </c>
      <c r="Q552" s="445">
        <f t="shared" si="137"/>
        <v>5.9710856036061216E-2</v>
      </c>
      <c r="R552" s="445">
        <f t="shared" si="136"/>
        <v>0</v>
      </c>
      <c r="S552" s="445">
        <f t="shared" si="136"/>
        <v>2.2494573438355883E-3</v>
      </c>
      <c r="T552" s="445">
        <f t="shared" si="136"/>
        <v>5.2097005082189098E-2</v>
      </c>
      <c r="U552" s="445">
        <f t="shared" si="136"/>
        <v>-6.8179660733922003E-3</v>
      </c>
      <c r="V552" s="445">
        <f t="shared" si="136"/>
        <v>-2.564995816450122E-4</v>
      </c>
      <c r="W552" s="445">
        <f t="shared" si="136"/>
        <v>-2.1208018517514554E-2</v>
      </c>
      <c r="X552" s="445">
        <f t="shared" si="136"/>
        <v>1.6733855179382252E-3</v>
      </c>
      <c r="Y552" s="43"/>
      <c r="Z552" s="388">
        <f t="shared" si="131"/>
        <v>1.274010132918995</v>
      </c>
      <c r="AA552" s="43"/>
      <c r="AB552" s="462">
        <f>IF('TAR_Tab 2_Volumina'!C555="storage",1,0)</f>
        <v>0</v>
      </c>
      <c r="AC552" s="389">
        <f t="shared" si="130"/>
        <v>1.274010132918995</v>
      </c>
      <c r="AD552" s="389">
        <f t="shared" si="132"/>
        <v>1.3597397105231193</v>
      </c>
      <c r="AE552" s="43"/>
      <c r="AF552" s="1027">
        <f t="shared" si="133"/>
        <v>1.3597397105231193</v>
      </c>
      <c r="AG552" s="392">
        <f t="shared" si="134"/>
        <v>1.36</v>
      </c>
      <c r="AH552" s="392">
        <f>AG552+'TAR_Tab 14_Overige tarieven'!$AA$14+'TAR_Tab 14_Overige tarieven'!$AA$15</f>
        <v>1.54</v>
      </c>
      <c r="AI552" s="43"/>
    </row>
    <row r="553" spans="1:35">
      <c r="A553" s="96">
        <v>301481</v>
      </c>
      <c r="B553" s="1286" t="s">
        <v>1217</v>
      </c>
      <c r="C553" s="1022"/>
      <c r="D553" s="1358"/>
      <c r="E553" s="1022"/>
      <c r="F553" s="1032">
        <v>0.89692260549165936</v>
      </c>
      <c r="G553" s="390">
        <f t="shared" si="125"/>
        <v>0.8535115513858631</v>
      </c>
      <c r="H553" s="390">
        <f t="shared" si="126"/>
        <v>0.87345897456341293</v>
      </c>
      <c r="I553" s="43"/>
      <c r="J553" s="388">
        <f t="shared" si="127"/>
        <v>0.82978602583524219</v>
      </c>
      <c r="K553" s="388">
        <f t="shared" si="128"/>
        <v>0.91713192329158366</v>
      </c>
      <c r="L553" s="1316">
        <v>0.88021196460699913</v>
      </c>
      <c r="M553" s="61" t="b">
        <f t="shared" si="138"/>
        <v>1</v>
      </c>
      <c r="N553" s="857">
        <f t="shared" si="129"/>
        <v>0.88021196460699913</v>
      </c>
      <c r="P553" s="445">
        <f t="shared" si="135"/>
        <v>-4.0822346262333553E-2</v>
      </c>
      <c r="Q553" s="445">
        <f t="shared" si="137"/>
        <v>4.2240250681661609E-2</v>
      </c>
      <c r="R553" s="445">
        <f t="shared" si="136"/>
        <v>0</v>
      </c>
      <c r="S553" s="445">
        <f t="shared" si="136"/>
        <v>1.5912959285650813E-3</v>
      </c>
      <c r="T553" s="445">
        <f t="shared" si="136"/>
        <v>3.6854111639371946E-2</v>
      </c>
      <c r="U553" s="445">
        <f t="shared" si="136"/>
        <v>-4.823119532991171E-3</v>
      </c>
      <c r="V553" s="445">
        <f t="shared" si="136"/>
        <v>-1.8145120247285173E-4</v>
      </c>
      <c r="W553" s="445">
        <f t="shared" si="136"/>
        <v>-1.5002833288809587E-2</v>
      </c>
      <c r="X553" s="445">
        <f t="shared" si="136"/>
        <v>1.1837750864279086E-3</v>
      </c>
      <c r="Y553" s="43"/>
      <c r="Z553" s="388">
        <f t="shared" si="131"/>
        <v>0.90125164765641852</v>
      </c>
      <c r="AA553" s="43"/>
      <c r="AB553" s="462">
        <f>IF('TAR_Tab 2_Volumina'!C556="storage",1,0)</f>
        <v>0</v>
      </c>
      <c r="AC553" s="389">
        <f t="shared" si="130"/>
        <v>0.90125164765641852</v>
      </c>
      <c r="AD553" s="389">
        <f t="shared" si="132"/>
        <v>0.96189788670286924</v>
      </c>
      <c r="AE553" s="43"/>
      <c r="AF553" s="1027">
        <f t="shared" si="133"/>
        <v>0.96189788670286924</v>
      </c>
      <c r="AG553" s="392">
        <f t="shared" si="134"/>
        <v>0.96199999999999997</v>
      </c>
      <c r="AH553" s="392">
        <f>AG553+'TAR_Tab 14_Overige tarieven'!$AA$14+'TAR_Tab 14_Overige tarieven'!$AA$15</f>
        <v>1.1419999999999999</v>
      </c>
      <c r="AI553" s="43"/>
    </row>
    <row r="554" spans="1:35">
      <c r="A554" s="96">
        <v>301482</v>
      </c>
      <c r="B554" s="1286" t="s">
        <v>1218</v>
      </c>
      <c r="C554" s="1022"/>
      <c r="D554" s="1358"/>
      <c r="E554" s="1022"/>
      <c r="F554" s="1032">
        <v>1.0799068159765797</v>
      </c>
      <c r="G554" s="390">
        <f t="shared" si="125"/>
        <v>1.0276393260833132</v>
      </c>
      <c r="H554" s="390">
        <f t="shared" si="126"/>
        <v>1.0516562904442428</v>
      </c>
      <c r="I554" s="43"/>
      <c r="J554" s="388">
        <f t="shared" si="127"/>
        <v>0.99907347592203066</v>
      </c>
      <c r="K554" s="388">
        <f t="shared" si="128"/>
        <v>1.1042391049664551</v>
      </c>
      <c r="L554" s="1316">
        <v>1.0597869807977245</v>
      </c>
      <c r="M554" s="61" t="b">
        <f t="shared" si="138"/>
        <v>1</v>
      </c>
      <c r="N554" s="857">
        <f t="shared" si="129"/>
        <v>1.0597869807977245</v>
      </c>
      <c r="P554" s="445">
        <f t="shared" si="135"/>
        <v>-4.9150651018194234E-2</v>
      </c>
      <c r="Q554" s="445">
        <f t="shared" si="137"/>
        <v>5.0857826907686206E-2</v>
      </c>
      <c r="R554" s="445">
        <f t="shared" si="136"/>
        <v>0</v>
      </c>
      <c r="S554" s="445">
        <f t="shared" si="136"/>
        <v>1.9159415862322045E-3</v>
      </c>
      <c r="T554" s="445">
        <f t="shared" si="136"/>
        <v>4.4372843445397651E-2</v>
      </c>
      <c r="U554" s="445">
        <f t="shared" si="136"/>
        <v>-5.807100441059602E-3</v>
      </c>
      <c r="V554" s="445">
        <f t="shared" si="136"/>
        <v>-2.1846967521814919E-4</v>
      </c>
      <c r="W554" s="445">
        <f t="shared" si="136"/>
        <v>-1.806361198652659E-2</v>
      </c>
      <c r="X554" s="445">
        <f t="shared" si="136"/>
        <v>1.4252810405152075E-3</v>
      </c>
      <c r="Y554" s="43"/>
      <c r="Z554" s="388">
        <f t="shared" si="131"/>
        <v>1.0851190406565572</v>
      </c>
      <c r="AA554" s="43"/>
      <c r="AB554" s="462">
        <f>IF('TAR_Tab 2_Volumina'!C557="storage",1,0)</f>
        <v>0</v>
      </c>
      <c r="AC554" s="389">
        <f t="shared" si="130"/>
        <v>1.0851190406565572</v>
      </c>
      <c r="AD554" s="389">
        <f t="shared" si="132"/>
        <v>1.1581379237894076</v>
      </c>
      <c r="AE554" s="43"/>
      <c r="AF554" s="1027">
        <f t="shared" si="133"/>
        <v>1.1581379237894076</v>
      </c>
      <c r="AG554" s="392">
        <f t="shared" si="134"/>
        <v>1.1579999999999999</v>
      </c>
      <c r="AH554" s="392">
        <f>AG554+'TAR_Tab 14_Overige tarieven'!$AA$14+'TAR_Tab 14_Overige tarieven'!$AA$15</f>
        <v>1.3379999999999999</v>
      </c>
      <c r="AI554" s="43"/>
    </row>
    <row r="555" spans="1:35">
      <c r="A555" s="96">
        <v>301483</v>
      </c>
      <c r="B555" s="1286" t="s">
        <v>1219</v>
      </c>
      <c r="C555" s="1022"/>
      <c r="D555" s="1358"/>
      <c r="E555" s="1022"/>
      <c r="F555" s="1032">
        <v>1.1359019842124021</v>
      </c>
      <c r="G555" s="390">
        <f t="shared" si="125"/>
        <v>1.0809243281765217</v>
      </c>
      <c r="H555" s="390">
        <f t="shared" si="126"/>
        <v>1.1061866166154255</v>
      </c>
      <c r="I555" s="43"/>
      <c r="J555" s="388">
        <f t="shared" si="127"/>
        <v>1.0508772857846542</v>
      </c>
      <c r="K555" s="388">
        <f t="shared" si="128"/>
        <v>1.1614959474461968</v>
      </c>
      <c r="L555" s="1316">
        <v>1.1147388983205693</v>
      </c>
      <c r="M555" s="61" t="b">
        <f t="shared" si="138"/>
        <v>1</v>
      </c>
      <c r="N555" s="857">
        <f t="shared" si="129"/>
        <v>1.1147388983205693</v>
      </c>
      <c r="P555" s="445">
        <f t="shared" si="135"/>
        <v>-5.1699203293211704E-2</v>
      </c>
      <c r="Q555" s="445">
        <f t="shared" si="137"/>
        <v>5.3494899414010665E-2</v>
      </c>
      <c r="R555" s="445">
        <f t="shared" si="136"/>
        <v>0</v>
      </c>
      <c r="S555" s="445">
        <f t="shared" si="136"/>
        <v>2.0152867055183185E-3</v>
      </c>
      <c r="T555" s="445">
        <f t="shared" si="136"/>
        <v>4.6673657549973817E-2</v>
      </c>
      <c r="U555" s="445">
        <f t="shared" si="136"/>
        <v>-6.1082093528182476E-3</v>
      </c>
      <c r="V555" s="445">
        <f t="shared" si="136"/>
        <v>-2.2979773245168281E-4</v>
      </c>
      <c r="W555" s="445">
        <f t="shared" si="136"/>
        <v>-1.90002437191613E-2</v>
      </c>
      <c r="X555" s="445">
        <f t="shared" si="136"/>
        <v>1.4991845018752551E-3</v>
      </c>
      <c r="Y555" s="43"/>
      <c r="Z555" s="388">
        <f t="shared" si="131"/>
        <v>1.1413844723943043</v>
      </c>
      <c r="AA555" s="43"/>
      <c r="AB555" s="462">
        <f>IF('TAR_Tab 2_Volumina'!C558="storage",1,0)</f>
        <v>0</v>
      </c>
      <c r="AC555" s="389">
        <f t="shared" si="130"/>
        <v>1.1413844723943043</v>
      </c>
      <c r="AD555" s="389">
        <f t="shared" si="132"/>
        <v>1.2181895198377468</v>
      </c>
      <c r="AE555" s="43"/>
      <c r="AF555" s="1027">
        <f t="shared" si="133"/>
        <v>1.2181895198377468</v>
      </c>
      <c r="AG555" s="392">
        <f t="shared" si="134"/>
        <v>1.218</v>
      </c>
      <c r="AH555" s="392">
        <f>AG555+'TAR_Tab 14_Overige tarieven'!$AA$14+'TAR_Tab 14_Overige tarieven'!$AA$15</f>
        <v>1.3979999999999999</v>
      </c>
      <c r="AI555" s="43"/>
    </row>
    <row r="556" spans="1:35">
      <c r="A556" s="96">
        <v>301484</v>
      </c>
      <c r="B556" s="1286" t="s">
        <v>1220</v>
      </c>
      <c r="C556" s="1022"/>
      <c r="D556" s="1358"/>
      <c r="E556" s="1022"/>
      <c r="F556" s="1032">
        <v>0.99191440874885839</v>
      </c>
      <c r="G556" s="390">
        <f t="shared" si="125"/>
        <v>0.94390575136541366</v>
      </c>
      <c r="H556" s="390">
        <f t="shared" si="126"/>
        <v>0.96596577788952676</v>
      </c>
      <c r="I556" s="43"/>
      <c r="J556" s="388">
        <f t="shared" si="127"/>
        <v>0.91766748899505035</v>
      </c>
      <c r="K556" s="388">
        <f t="shared" si="128"/>
        <v>1.014264066784003</v>
      </c>
      <c r="L556" s="1316">
        <v>0.97343396754753964</v>
      </c>
      <c r="M556" s="61" t="b">
        <f t="shared" si="138"/>
        <v>1</v>
      </c>
      <c r="N556" s="857">
        <f t="shared" si="129"/>
        <v>0.97343396754753964</v>
      </c>
      <c r="P556" s="445">
        <f t="shared" si="135"/>
        <v>-4.5145783157452483E-2</v>
      </c>
      <c r="Q556" s="445">
        <f t="shared" si="137"/>
        <v>4.6713855826319185E-2</v>
      </c>
      <c r="R556" s="445">
        <f t="shared" si="136"/>
        <v>0</v>
      </c>
      <c r="S556" s="445">
        <f t="shared" si="136"/>
        <v>1.759827827354025E-3</v>
      </c>
      <c r="T556" s="445">
        <f t="shared" si="136"/>
        <v>4.0757278423920809E-2</v>
      </c>
      <c r="U556" s="445">
        <f t="shared" si="136"/>
        <v>-5.3339292940103016E-3</v>
      </c>
      <c r="V556" s="445">
        <f t="shared" si="136"/>
        <v>-2.0066844242259632E-4</v>
      </c>
      <c r="W556" s="445">
        <f t="shared" si="136"/>
        <v>-1.6591762120957757E-2</v>
      </c>
      <c r="X556" s="445">
        <f t="shared" si="136"/>
        <v>1.3091470298065612E-3</v>
      </c>
      <c r="Y556" s="43"/>
      <c r="Z556" s="388">
        <f t="shared" si="131"/>
        <v>0.99670193364009707</v>
      </c>
      <c r="AA556" s="43"/>
      <c r="AB556" s="462">
        <f>IF('TAR_Tab 2_Volumina'!C559="storage",1,0)</f>
        <v>0</v>
      </c>
      <c r="AC556" s="389">
        <f t="shared" si="130"/>
        <v>0.99670193364009707</v>
      </c>
      <c r="AD556" s="389">
        <f t="shared" si="132"/>
        <v>1.0637711299991597</v>
      </c>
      <c r="AE556" s="43"/>
      <c r="AF556" s="1027">
        <f t="shared" si="133"/>
        <v>1.0637711299991597</v>
      </c>
      <c r="AG556" s="392">
        <f t="shared" si="134"/>
        <v>1.0640000000000001</v>
      </c>
      <c r="AH556" s="392">
        <f>AG556+'TAR_Tab 14_Overige tarieven'!$AA$14+'TAR_Tab 14_Overige tarieven'!$AA$15</f>
        <v>1.244</v>
      </c>
      <c r="AI556" s="43"/>
    </row>
    <row r="557" spans="1:35">
      <c r="A557" s="96">
        <v>301485</v>
      </c>
      <c r="B557" s="1286" t="s">
        <v>1221</v>
      </c>
      <c r="C557" s="1022"/>
      <c r="D557" s="1358"/>
      <c r="E557" s="1022"/>
      <c r="F557" s="1032">
        <v>1.2678905950539843</v>
      </c>
      <c r="G557" s="390">
        <f t="shared" si="125"/>
        <v>1.2065246902533715</v>
      </c>
      <c r="H557" s="390">
        <f t="shared" si="126"/>
        <v>1.2347223854474998</v>
      </c>
      <c r="I557" s="43"/>
      <c r="J557" s="388">
        <f t="shared" si="127"/>
        <v>1.1729862661751247</v>
      </c>
      <c r="K557" s="388">
        <f t="shared" si="128"/>
        <v>1.2964585047198749</v>
      </c>
      <c r="L557" s="1316">
        <v>1.244268418195847</v>
      </c>
      <c r="M557" s="61" t="b">
        <f t="shared" si="138"/>
        <v>1</v>
      </c>
      <c r="N557" s="857">
        <f t="shared" si="129"/>
        <v>1.244268418195847</v>
      </c>
      <c r="P557" s="445">
        <f t="shared" si="135"/>
        <v>-5.7706505084324344E-2</v>
      </c>
      <c r="Q557" s="445">
        <f t="shared" si="137"/>
        <v>5.9710856036061216E-2</v>
      </c>
      <c r="R557" s="445">
        <f t="shared" si="136"/>
        <v>0</v>
      </c>
      <c r="S557" s="445">
        <f t="shared" si="136"/>
        <v>2.2494573438355883E-3</v>
      </c>
      <c r="T557" s="445">
        <f t="shared" si="136"/>
        <v>5.2097005082189098E-2</v>
      </c>
      <c r="U557" s="445">
        <f t="shared" si="136"/>
        <v>-6.8179660733922003E-3</v>
      </c>
      <c r="V557" s="445">
        <f t="shared" si="136"/>
        <v>-2.564995816450122E-4</v>
      </c>
      <c r="W557" s="445">
        <f t="shared" si="136"/>
        <v>-2.1208018517514554E-2</v>
      </c>
      <c r="X557" s="445">
        <f t="shared" si="136"/>
        <v>1.6733855179382252E-3</v>
      </c>
      <c r="Y557" s="43"/>
      <c r="Z557" s="388">
        <f t="shared" si="131"/>
        <v>1.274010132918995</v>
      </c>
      <c r="AA557" s="43"/>
      <c r="AB557" s="462">
        <f>IF('TAR_Tab 2_Volumina'!C560="storage",1,0)</f>
        <v>0</v>
      </c>
      <c r="AC557" s="389">
        <f t="shared" si="130"/>
        <v>1.274010132918995</v>
      </c>
      <c r="AD557" s="389">
        <f t="shared" si="132"/>
        <v>1.3597397105231193</v>
      </c>
      <c r="AE557" s="43"/>
      <c r="AF557" s="1027">
        <f t="shared" si="133"/>
        <v>1.3597397105231193</v>
      </c>
      <c r="AG557" s="392">
        <f t="shared" si="134"/>
        <v>1.36</v>
      </c>
      <c r="AH557" s="392">
        <f>AG557+'TAR_Tab 14_Overige tarieven'!$AA$14+'TAR_Tab 14_Overige tarieven'!$AA$15</f>
        <v>1.54</v>
      </c>
      <c r="AI557" s="43"/>
    </row>
    <row r="558" spans="1:35">
      <c r="A558" s="80"/>
      <c r="B558" s="80"/>
      <c r="C558" s="80"/>
      <c r="D558" s="80"/>
      <c r="E558" s="80"/>
      <c r="F558" s="80"/>
      <c r="I558" s="80"/>
      <c r="J558" s="80"/>
      <c r="K558" s="80"/>
      <c r="L558" s="80"/>
      <c r="M558" s="80"/>
      <c r="N558" s="80"/>
      <c r="O558" s="80"/>
      <c r="P558" s="80"/>
      <c r="Q558" s="80"/>
      <c r="R558" s="80"/>
      <c r="S558" s="80"/>
      <c r="T558" s="80"/>
      <c r="U558" s="80"/>
      <c r="V558" s="80"/>
      <c r="W558" s="80"/>
      <c r="X558" s="80"/>
      <c r="Y558" s="80"/>
      <c r="Z558" s="80"/>
      <c r="AA558" s="80"/>
      <c r="AE558" s="80"/>
      <c r="AI558" s="80"/>
    </row>
    <row r="559" spans="1:35">
      <c r="Z559" s="80" t="s">
        <v>554</v>
      </c>
      <c r="AD559" s="486">
        <v>863152697.44247103</v>
      </c>
      <c r="AF559" s="951"/>
      <c r="AG559" s="485"/>
      <c r="AH559" s="232"/>
    </row>
    <row r="560" spans="1:35">
      <c r="Z560" s="80" t="s">
        <v>553</v>
      </c>
      <c r="AD560" s="488">
        <v>817388324.58812451</v>
      </c>
      <c r="AF560" s="1028"/>
      <c r="AG560" s="108"/>
    </row>
    <row r="561" spans="26:32">
      <c r="Z561" s="102" t="s">
        <v>691</v>
      </c>
      <c r="AD561" s="486">
        <v>137293118.56304011</v>
      </c>
      <c r="AF561" s="951"/>
    </row>
    <row r="562" spans="26:32">
      <c r="Z562" s="102" t="s">
        <v>692</v>
      </c>
      <c r="AD562" s="486">
        <f>AD560-AD561</f>
        <v>680095206.02508438</v>
      </c>
      <c r="AF562" s="951"/>
    </row>
    <row r="563" spans="26:32">
      <c r="Z563" s="102" t="s">
        <v>688</v>
      </c>
      <c r="AD563" s="486">
        <f>AD559-AD561</f>
        <v>725859578.87943089</v>
      </c>
      <c r="AF563" s="951"/>
    </row>
    <row r="564" spans="26:32">
      <c r="Z564" s="102" t="s">
        <v>689</v>
      </c>
      <c r="AD564" s="487">
        <f>AD563/AD562-1</f>
        <v>6.729112696121331E-2</v>
      </c>
      <c r="AF564" s="1029"/>
    </row>
    <row r="565" spans="26:32">
      <c r="AF565" s="89"/>
    </row>
    <row r="566" spans="26:32">
      <c r="Z566" s="80" t="s">
        <v>690</v>
      </c>
      <c r="AD566" s="486">
        <v>863152697.44247198</v>
      </c>
      <c r="AF566" s="951"/>
    </row>
  </sheetData>
  <mergeCells count="5">
    <mergeCell ref="AF3:AH3"/>
    <mergeCell ref="F3:H3"/>
    <mergeCell ref="J3:N3"/>
    <mergeCell ref="P3:X3"/>
    <mergeCell ref="AB3:AD3"/>
  </mergeCells>
  <phoneticPr fontId="21" type="noConversion"/>
  <conditionalFormatting sqref="F7:F557">
    <cfRule type="containsErrors" dxfId="9" priority="55">
      <formula>ISERROR(F7)</formula>
    </cfRule>
    <cfRule type="cellIs" dxfId="8" priority="56" operator="equal">
      <formula>#N/A</formula>
    </cfRule>
    <cfRule type="cellIs" dxfId="7" priority="57" operator="equal">
      <formula>#N/A</formula>
    </cfRule>
  </conditionalFormatting>
  <pageMargins left="0.75" right="0.75" top="1" bottom="1" header="0.5" footer="0.5"/>
  <pageSetup paperSize="9" scale="16" orientation="portrait" r:id="rId1"/>
  <headerFooter alignWithMargins="0">
    <oddFooter>&amp;LEnergiekamer NMa&amp;R&amp;F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AG562"/>
  <sheetViews>
    <sheetView showGridLines="0" zoomScale="70" zoomScaleNormal="70" zoomScaleSheetLayoutView="70" workbookViewId="0">
      <pane ySplit="6" topLeftCell="A7" activePane="bottomLeft" state="frozen"/>
      <selection activeCell="C94" sqref="C94"/>
      <selection pane="bottomLeft"/>
    </sheetView>
  </sheetViews>
  <sheetFormatPr defaultRowHeight="12.75"/>
  <cols>
    <col min="1" max="1" width="8.7109375" bestFit="1" customWidth="1"/>
    <col min="2" max="2" width="51.28515625" bestFit="1" customWidth="1"/>
    <col min="3" max="3" width="18.85546875" style="80" customWidth="1"/>
    <col min="4" max="4" width="2.42578125" style="36" customWidth="1"/>
    <col min="5" max="5" width="20" bestFit="1" customWidth="1"/>
    <col min="6" max="6" width="26.85546875" customWidth="1"/>
    <col min="7" max="7" width="24.5703125" customWidth="1"/>
    <col min="8" max="8" width="1.85546875" style="36" customWidth="1"/>
    <col min="9" max="9" width="14.5703125" style="36" customWidth="1"/>
    <col min="10" max="10" width="14.7109375" style="36" customWidth="1"/>
    <col min="11" max="11" width="17" style="36" customWidth="1"/>
    <col min="12" max="12" width="15.28515625" style="36" customWidth="1"/>
    <col min="13" max="13" width="16.5703125" style="101" bestFit="1" customWidth="1"/>
    <col min="14" max="14" width="1.85546875" style="36" customWidth="1"/>
    <col min="15" max="18" width="14.5703125" style="101" customWidth="1"/>
    <col min="19" max="19" width="15.140625" style="101" customWidth="1"/>
    <col min="20" max="20" width="16.42578125" style="101" customWidth="1"/>
    <col min="21" max="22" width="14.5703125" style="101" customWidth="1"/>
    <col min="23" max="23" width="15.7109375" style="101" customWidth="1"/>
    <col min="24" max="24" width="2.140625" style="36" customWidth="1"/>
    <col min="25" max="25" width="15.7109375" customWidth="1"/>
    <col min="26" max="26" width="14.85546875" style="101" customWidth="1"/>
    <col min="27" max="27" width="14.85546875" style="71" customWidth="1"/>
    <col min="28" max="28" width="2.140625" style="36" customWidth="1"/>
    <col min="29" max="29" width="14.85546875" style="71" customWidth="1"/>
    <col min="30" max="30" width="15.7109375" customWidth="1"/>
    <col min="31" max="31" width="2.140625" style="36" customWidth="1"/>
    <col min="32" max="32" width="16.140625" customWidth="1"/>
    <col min="33" max="33" width="17.5703125" customWidth="1"/>
  </cols>
  <sheetData>
    <row r="1" spans="1:33" s="11" customFormat="1" ht="23.25" customHeight="1">
      <c r="A1" s="9" t="s">
        <v>941</v>
      </c>
      <c r="B1" s="9"/>
      <c r="C1" s="234"/>
      <c r="D1" s="959"/>
      <c r="E1" s="12"/>
      <c r="F1" s="12"/>
      <c r="G1" s="12"/>
      <c r="H1" s="959"/>
      <c r="I1" s="959"/>
      <c r="J1" s="959"/>
      <c r="K1" s="959"/>
      <c r="L1" s="959"/>
      <c r="M1" s="959"/>
      <c r="N1" s="959"/>
      <c r="O1" s="651"/>
      <c r="P1" s="651"/>
      <c r="Q1" s="651"/>
      <c r="R1" s="651"/>
      <c r="S1" s="651"/>
      <c r="T1" s="651"/>
      <c r="U1" s="651"/>
      <c r="V1" s="651"/>
      <c r="W1" s="867"/>
      <c r="X1" s="959"/>
      <c r="Y1" s="473"/>
      <c r="Z1" s="473"/>
      <c r="AA1" s="940"/>
      <c r="AB1" s="959"/>
      <c r="AC1" s="940"/>
      <c r="AD1" s="611" t="s">
        <v>143</v>
      </c>
      <c r="AE1" s="767"/>
    </row>
    <row r="2" spans="1:33">
      <c r="D2" s="101"/>
      <c r="H2" s="101"/>
      <c r="I2" s="101"/>
      <c r="J2" s="101"/>
      <c r="K2" s="101"/>
      <c r="L2" s="101"/>
      <c r="N2" s="101"/>
      <c r="X2" s="101"/>
      <c r="Y2" s="22"/>
      <c r="Z2" s="22"/>
      <c r="AA2" s="76"/>
      <c r="AB2" s="101"/>
      <c r="AC2" s="76"/>
      <c r="AD2" s="22"/>
      <c r="AE2" s="101"/>
    </row>
    <row r="3" spans="1:33" s="101" customFormat="1" ht="20.25" customHeight="1">
      <c r="A3" s="146" t="s">
        <v>144</v>
      </c>
      <c r="B3" s="146" t="s">
        <v>145</v>
      </c>
      <c r="C3" s="866" t="s">
        <v>579</v>
      </c>
      <c r="D3" s="982"/>
      <c r="E3" s="1449" t="s">
        <v>1081</v>
      </c>
      <c r="F3" s="1449"/>
      <c r="G3" s="1449"/>
      <c r="H3" s="982"/>
      <c r="I3" s="1450" t="s">
        <v>977</v>
      </c>
      <c r="J3" s="1450"/>
      <c r="K3" s="1450"/>
      <c r="L3" s="1450"/>
      <c r="M3" s="1450"/>
      <c r="N3" s="982"/>
      <c r="O3" s="1451" t="s">
        <v>1029</v>
      </c>
      <c r="P3" s="1451"/>
      <c r="Q3" s="1451"/>
      <c r="R3" s="1451"/>
      <c r="S3" s="1451"/>
      <c r="T3" s="1451"/>
      <c r="U3" s="1451"/>
      <c r="V3" s="1451"/>
      <c r="W3" s="1451"/>
      <c r="X3" s="979"/>
      <c r="Y3" s="1451" t="s">
        <v>989</v>
      </c>
      <c r="Z3" s="1451"/>
      <c r="AA3" s="1451"/>
      <c r="AB3" s="979"/>
      <c r="AC3" s="1452" t="s">
        <v>968</v>
      </c>
      <c r="AD3" s="1452"/>
      <c r="AE3" s="979"/>
    </row>
    <row r="4" spans="1:33" s="13" customFormat="1" ht="54.75" customHeight="1">
      <c r="A4" s="146"/>
      <c r="B4" s="146"/>
      <c r="C4" s="866"/>
      <c r="D4" s="982"/>
      <c r="E4" s="1005" t="s">
        <v>994</v>
      </c>
      <c r="F4" s="1005" t="s">
        <v>993</v>
      </c>
      <c r="G4" s="1005" t="s">
        <v>1059</v>
      </c>
      <c r="H4" s="980"/>
      <c r="I4" s="1008" t="s">
        <v>135</v>
      </c>
      <c r="J4" s="1008" t="s">
        <v>136</v>
      </c>
      <c r="K4" s="1008" t="s">
        <v>133</v>
      </c>
      <c r="L4" s="1008" t="s">
        <v>134</v>
      </c>
      <c r="M4" s="1005" t="s">
        <v>992</v>
      </c>
      <c r="N4" s="980"/>
      <c r="O4" s="1005" t="s">
        <v>978</v>
      </c>
      <c r="P4" s="1005" t="s">
        <v>960</v>
      </c>
      <c r="Q4" s="1005" t="s">
        <v>961</v>
      </c>
      <c r="R4" s="1005" t="s">
        <v>962</v>
      </c>
      <c r="S4" s="1005" t="s">
        <v>963</v>
      </c>
      <c r="T4" s="1005" t="s">
        <v>964</v>
      </c>
      <c r="U4" s="1005" t="s">
        <v>965</v>
      </c>
      <c r="V4" s="1005" t="s">
        <v>966</v>
      </c>
      <c r="W4" s="1005" t="s">
        <v>551</v>
      </c>
      <c r="X4" s="980"/>
      <c r="Y4" s="1005" t="s">
        <v>990</v>
      </c>
      <c r="Z4" s="1005" t="s">
        <v>727</v>
      </c>
      <c r="AA4" s="1005" t="s">
        <v>991</v>
      </c>
      <c r="AB4" s="980"/>
      <c r="AC4" s="1005" t="s">
        <v>995</v>
      </c>
      <c r="AD4" s="1005" t="s">
        <v>996</v>
      </c>
      <c r="AE4" s="980"/>
    </row>
    <row r="5" spans="1:33" s="13" customFormat="1" ht="14.25">
      <c r="A5" s="378"/>
      <c r="B5" s="19"/>
      <c r="C5" s="103"/>
      <c r="D5" s="1077"/>
      <c r="E5" s="379"/>
      <c r="F5" s="1039">
        <f>Parameters!B65-Parameters!B18</f>
        <v>0.9516</v>
      </c>
      <c r="G5" s="780">
        <f>TAR_Tab_3_Tariefaanpassing!D24</f>
        <v>1.0233710055185086</v>
      </c>
      <c r="H5" s="975"/>
      <c r="I5" s="997">
        <v>0.95</v>
      </c>
      <c r="J5" s="997">
        <v>1.05</v>
      </c>
      <c r="K5" s="998"/>
      <c r="L5" s="998"/>
      <c r="M5" s="490"/>
      <c r="N5" s="1037"/>
      <c r="O5" s="1033">
        <f>'TAR_Tab_4_Cor. verdeelsleutel'!B23</f>
        <v>-4.6377858861030241E-2</v>
      </c>
      <c r="P5" s="778">
        <f>'TAR_Tab 5_UI'!B224</f>
        <v>4.798872587527394E-2</v>
      </c>
      <c r="Q5" s="778">
        <f>'TAR_Tab 6_NPD'!B35</f>
        <v>0</v>
      </c>
      <c r="R5" s="778">
        <f>'TAR_Tab 7_MFA '!B51</f>
        <v>1.8078553718314542E-3</v>
      </c>
      <c r="S5" s="677">
        <f>'TAR-Tab_8_Nacalculaties 14-16'!B14</f>
        <v>4.1869587237236348E-2</v>
      </c>
      <c r="T5" s="677">
        <f>'TAR-Tab_8_Nacalculaties 14-16'!B22</f>
        <v>-5.4794978106717943E-3</v>
      </c>
      <c r="U5" s="677">
        <f>'TAR-Tab_8_Nacalculaties 14-16'!B34</f>
        <v>-2.0614489437651174E-4</v>
      </c>
      <c r="V5" s="677">
        <f>'TAR-Tab_8_Nacalculaties 14-16'!B49</f>
        <v>-1.704456868580299E-2</v>
      </c>
      <c r="W5" s="677">
        <f>'TAR-Tab 10_incidenteel'!D44</f>
        <v>1.3448750233205995E-3</v>
      </c>
      <c r="X5" s="805"/>
      <c r="Y5" s="1132"/>
      <c r="Z5" s="1131">
        <v>109204494.01715602</v>
      </c>
      <c r="AA5" s="380"/>
      <c r="AB5" s="805"/>
      <c r="AC5" s="380"/>
      <c r="AD5" s="379"/>
      <c r="AE5" s="805"/>
    </row>
    <row r="6" spans="1:33" s="13" customFormat="1" ht="15">
      <c r="A6" s="1030"/>
      <c r="B6" s="1030"/>
      <c r="C6" s="1084" t="s">
        <v>572</v>
      </c>
      <c r="D6" s="1023"/>
      <c r="E6" s="1285" t="s">
        <v>620</v>
      </c>
      <c r="F6" s="1034" t="s">
        <v>620</v>
      </c>
      <c r="G6" s="1034" t="s">
        <v>620</v>
      </c>
      <c r="H6" s="1023"/>
      <c r="I6" s="1024" t="s">
        <v>620</v>
      </c>
      <c r="J6" s="1024" t="s">
        <v>620</v>
      </c>
      <c r="K6" s="1024" t="s">
        <v>620</v>
      </c>
      <c r="L6" s="1024"/>
      <c r="M6" s="1024" t="s">
        <v>620</v>
      </c>
      <c r="N6" s="18"/>
      <c r="O6" s="1006" t="s">
        <v>620</v>
      </c>
      <c r="P6" s="1006" t="s">
        <v>620</v>
      </c>
      <c r="Q6" s="1006" t="s">
        <v>620</v>
      </c>
      <c r="R6" s="1006" t="s">
        <v>620</v>
      </c>
      <c r="S6" s="1006" t="s">
        <v>620</v>
      </c>
      <c r="T6" s="1006" t="s">
        <v>620</v>
      </c>
      <c r="U6" s="1006" t="s">
        <v>620</v>
      </c>
      <c r="V6" s="1006" t="s">
        <v>620</v>
      </c>
      <c r="W6" s="1006" t="s">
        <v>620</v>
      </c>
      <c r="X6" s="981"/>
      <c r="Y6" s="1034" t="s">
        <v>620</v>
      </c>
      <c r="Z6" s="1034" t="s">
        <v>621</v>
      </c>
      <c r="AA6" s="1006" t="s">
        <v>624</v>
      </c>
      <c r="AB6" s="1035"/>
      <c r="AC6" s="1006" t="s">
        <v>624</v>
      </c>
      <c r="AD6" s="1034" t="s">
        <v>624</v>
      </c>
      <c r="AE6" s="981"/>
    </row>
    <row r="7" spans="1:33">
      <c r="A7" s="781">
        <v>300001</v>
      </c>
      <c r="B7" s="777" t="s">
        <v>729</v>
      </c>
      <c r="C7" s="782">
        <f>'TAR_Tab 2_Volumina'!N10</f>
        <v>1</v>
      </c>
      <c r="D7" s="976"/>
      <c r="E7" s="1317">
        <v>17861.01390568259</v>
      </c>
      <c r="F7" s="1115">
        <f t="shared" ref="F7:F70" si="0">E7*$F$5*C7</f>
        <v>16996.540832647552</v>
      </c>
      <c r="G7" s="1115">
        <f t="shared" ref="G7:G70" si="1">F7*$G$5</f>
        <v>17393.767082242914</v>
      </c>
      <c r="H7" s="976"/>
      <c r="I7" s="1117">
        <f>$G7*I$5</f>
        <v>16524.078728130768</v>
      </c>
      <c r="J7" s="1117">
        <f>$G7*J$5</f>
        <v>18263.45543635506</v>
      </c>
      <c r="K7" s="1319"/>
      <c r="L7" s="999" t="str">
        <f>IF(K7&gt;0,AND(K7&gt;=I7,K7&lt;=J7),"")</f>
        <v/>
      </c>
      <c r="M7" s="1118">
        <f>IF(K7&gt;0,K7,G7)</f>
        <v>17393.767082242914</v>
      </c>
      <c r="N7" s="976"/>
      <c r="O7" s="1119">
        <f>$M7*O$5</f>
        <v>-806.68567480189563</v>
      </c>
      <c r="P7" s="1119">
        <f t="shared" ref="P7:W22" si="2">$M7*P$5</f>
        <v>834.70472044811856</v>
      </c>
      <c r="Q7" s="1119">
        <f t="shared" si="2"/>
        <v>0</v>
      </c>
      <c r="R7" s="1119">
        <f t="shared" si="2"/>
        <v>31.44541525601797</v>
      </c>
      <c r="S7" s="1119">
        <f t="shared" si="2"/>
        <v>728.26984823413966</v>
      </c>
      <c r="T7" s="1119">
        <f t="shared" si="2"/>
        <v>-95.309108646485171</v>
      </c>
      <c r="U7" s="1119">
        <f t="shared" si="2"/>
        <v>-3.5856362779786122</v>
      </c>
      <c r="V7" s="1119">
        <f t="shared" si="2"/>
        <v>-296.46925773814843</v>
      </c>
      <c r="W7" s="1119">
        <f t="shared" si="2"/>
        <v>23.392442910364515</v>
      </c>
      <c r="X7" s="978"/>
      <c r="Y7" s="1120">
        <f>M7+SUM(O7:W7)</f>
        <v>17809.529831627045</v>
      </c>
      <c r="Z7" s="1354"/>
      <c r="AA7" s="1001">
        <v>0.51615754047050644</v>
      </c>
      <c r="AB7" s="978"/>
      <c r="AC7" s="1036">
        <f>AA7</f>
        <v>0.51615754047050644</v>
      </c>
      <c r="AD7" s="783">
        <f>ROUND(AC7,3)</f>
        <v>0.51600000000000001</v>
      </c>
      <c r="AE7" s="1321"/>
      <c r="AF7" s="1322"/>
      <c r="AG7" s="740"/>
    </row>
    <row r="8" spans="1:33">
      <c r="A8" s="96">
        <v>300002</v>
      </c>
      <c r="B8" s="1286" t="s">
        <v>730</v>
      </c>
      <c r="C8" s="782">
        <f>'TAR_Tab 2_Volumina'!N11</f>
        <v>1</v>
      </c>
      <c r="D8" s="976"/>
      <c r="E8" s="1318">
        <v>17861.01390568259</v>
      </c>
      <c r="F8" s="1116">
        <f t="shared" si="0"/>
        <v>16996.540832647552</v>
      </c>
      <c r="G8" s="1116">
        <f t="shared" si="1"/>
        <v>17393.767082242914</v>
      </c>
      <c r="H8" s="976"/>
      <c r="I8" s="1117">
        <f t="shared" ref="I8:J11" si="3">$G8*I$5</f>
        <v>16524.078728130768</v>
      </c>
      <c r="J8" s="1117">
        <f t="shared" si="3"/>
        <v>18263.45543635506</v>
      </c>
      <c r="K8" s="1320"/>
      <c r="L8" s="1000" t="str">
        <f t="shared" ref="L8:L71" si="4">IF(K8&gt;0,AND(K8&gt;=I8,K8&lt;=J8),"")</f>
        <v/>
      </c>
      <c r="M8" s="1118">
        <f t="shared" ref="M8:M71" si="5">IF(K8&gt;0,K8,G8)</f>
        <v>17393.767082242914</v>
      </c>
      <c r="N8" s="976"/>
      <c r="O8" s="1119">
        <f t="shared" ref="O8:W49" si="6">$M8*O$5</f>
        <v>-806.68567480189563</v>
      </c>
      <c r="P8" s="1119">
        <f t="shared" si="2"/>
        <v>834.70472044811856</v>
      </c>
      <c r="Q8" s="1119">
        <f t="shared" si="2"/>
        <v>0</v>
      </c>
      <c r="R8" s="1119">
        <f t="shared" si="2"/>
        <v>31.44541525601797</v>
      </c>
      <c r="S8" s="1119">
        <f t="shared" si="2"/>
        <v>728.26984823413966</v>
      </c>
      <c r="T8" s="1119">
        <f t="shared" si="2"/>
        <v>-95.309108646485171</v>
      </c>
      <c r="U8" s="1119">
        <f t="shared" si="2"/>
        <v>-3.5856362779786122</v>
      </c>
      <c r="V8" s="1119">
        <f t="shared" si="2"/>
        <v>-296.46925773814843</v>
      </c>
      <c r="W8" s="1119">
        <f t="shared" si="2"/>
        <v>23.392442910364515</v>
      </c>
      <c r="X8" s="978"/>
      <c r="Y8" s="1120">
        <f t="shared" ref="Y8:Y71" si="7">M8+SUM(O8:W8)</f>
        <v>17809.529831627045</v>
      </c>
      <c r="Z8" s="1354"/>
      <c r="AA8" s="1001">
        <v>7.0171218246413982</v>
      </c>
      <c r="AB8" s="978"/>
      <c r="AC8" s="1036">
        <f t="shared" ref="AC8:AC71" si="8">AA8</f>
        <v>7.0171218246413982</v>
      </c>
      <c r="AD8" s="783">
        <f>ROUND(AC8,3)</f>
        <v>7.0170000000000003</v>
      </c>
      <c r="AE8" s="1321"/>
      <c r="AF8" s="1322"/>
      <c r="AG8" s="740"/>
    </row>
    <row r="9" spans="1:33">
      <c r="A9" s="96">
        <v>300003</v>
      </c>
      <c r="B9" s="1286" t="s">
        <v>731</v>
      </c>
      <c r="C9" s="782">
        <f>'TAR_Tab 2_Volumina'!N12</f>
        <v>0</v>
      </c>
      <c r="D9" s="976"/>
      <c r="E9" s="1318">
        <v>0</v>
      </c>
      <c r="F9" s="1116">
        <f t="shared" si="0"/>
        <v>0</v>
      </c>
      <c r="G9" s="1116">
        <f t="shared" si="1"/>
        <v>0</v>
      </c>
      <c r="H9" s="976"/>
      <c r="I9" s="1117">
        <f t="shared" si="3"/>
        <v>0</v>
      </c>
      <c r="J9" s="1117">
        <f t="shared" si="3"/>
        <v>0</v>
      </c>
      <c r="K9" s="1320"/>
      <c r="L9" s="1000" t="str">
        <f t="shared" si="4"/>
        <v/>
      </c>
      <c r="M9" s="1118">
        <f t="shared" si="5"/>
        <v>0</v>
      </c>
      <c r="N9" s="976"/>
      <c r="O9" s="1119">
        <f t="shared" si="6"/>
        <v>0</v>
      </c>
      <c r="P9" s="1119">
        <f t="shared" si="2"/>
        <v>0</v>
      </c>
      <c r="Q9" s="1119">
        <f t="shared" si="2"/>
        <v>0</v>
      </c>
      <c r="R9" s="1119">
        <f t="shared" si="2"/>
        <v>0</v>
      </c>
      <c r="S9" s="1119">
        <f t="shared" si="2"/>
        <v>0</v>
      </c>
      <c r="T9" s="1119">
        <f t="shared" si="2"/>
        <v>0</v>
      </c>
      <c r="U9" s="1119">
        <f t="shared" si="2"/>
        <v>0</v>
      </c>
      <c r="V9" s="1119">
        <f t="shared" si="2"/>
        <v>0</v>
      </c>
      <c r="W9" s="1119">
        <f t="shared" si="2"/>
        <v>0</v>
      </c>
      <c r="X9" s="978"/>
      <c r="Y9" s="1120">
        <f t="shared" si="7"/>
        <v>0</v>
      </c>
      <c r="Z9" s="1354"/>
      <c r="AA9" s="1001">
        <v>0</v>
      </c>
      <c r="AB9" s="978"/>
      <c r="AC9" s="1036">
        <f t="shared" si="8"/>
        <v>0</v>
      </c>
      <c r="AD9" s="783">
        <f t="shared" ref="AD9:AD71" si="9">ROUND(AC9,3)</f>
        <v>0</v>
      </c>
      <c r="AE9" s="1321"/>
      <c r="AF9" s="1322"/>
      <c r="AG9" s="740"/>
    </row>
    <row r="10" spans="1:33">
      <c r="A10" s="96">
        <v>300005</v>
      </c>
      <c r="B10" s="1286" t="s">
        <v>732</v>
      </c>
      <c r="C10" s="782">
        <f>'TAR_Tab 2_Volumina'!N13</f>
        <v>1</v>
      </c>
      <c r="D10" s="976"/>
      <c r="E10" s="1318">
        <v>35722.02781136518</v>
      </c>
      <c r="F10" s="1116">
        <f t="shared" si="0"/>
        <v>33993.081665295103</v>
      </c>
      <c r="G10" s="1116">
        <f t="shared" si="1"/>
        <v>34787.534164485827</v>
      </c>
      <c r="H10" s="976"/>
      <c r="I10" s="1117">
        <f t="shared" si="3"/>
        <v>33048.157456261535</v>
      </c>
      <c r="J10" s="1117">
        <f t="shared" si="3"/>
        <v>36526.910872710119</v>
      </c>
      <c r="K10" s="1320"/>
      <c r="L10" s="1000" t="str">
        <f t="shared" si="4"/>
        <v/>
      </c>
      <c r="M10" s="1118">
        <f t="shared" si="5"/>
        <v>34787.534164485827</v>
      </c>
      <c r="N10" s="976"/>
      <c r="O10" s="1119">
        <f t="shared" si="6"/>
        <v>-1613.3713496037913</v>
      </c>
      <c r="P10" s="1119">
        <f t="shared" si="2"/>
        <v>1669.4094408962371</v>
      </c>
      <c r="Q10" s="1119">
        <f t="shared" si="2"/>
        <v>0</v>
      </c>
      <c r="R10" s="1119">
        <f t="shared" si="2"/>
        <v>62.89083051203594</v>
      </c>
      <c r="S10" s="1119">
        <f t="shared" si="2"/>
        <v>1456.5396964682793</v>
      </c>
      <c r="T10" s="1119">
        <f t="shared" si="2"/>
        <v>-190.61821729297034</v>
      </c>
      <c r="U10" s="1119">
        <f t="shared" si="2"/>
        <v>-7.1712725559572243</v>
      </c>
      <c r="V10" s="1119">
        <f t="shared" si="2"/>
        <v>-592.93851547629686</v>
      </c>
      <c r="W10" s="1119">
        <f t="shared" si="2"/>
        <v>46.784885820729031</v>
      </c>
      <c r="X10" s="978"/>
      <c r="Y10" s="1120">
        <f t="shared" si="7"/>
        <v>35619.059663254091</v>
      </c>
      <c r="Z10" s="1354"/>
      <c r="AA10" s="1001">
        <v>0.1445177854865852</v>
      </c>
      <c r="AB10" s="978"/>
      <c r="AC10" s="1036">
        <f t="shared" si="8"/>
        <v>0.1445177854865852</v>
      </c>
      <c r="AD10" s="783">
        <f t="shared" si="9"/>
        <v>0.14499999999999999</v>
      </c>
      <c r="AE10" s="1321"/>
      <c r="AF10" s="1322"/>
      <c r="AG10" s="740"/>
    </row>
    <row r="11" spans="1:33">
      <c r="A11" s="96">
        <v>300009</v>
      </c>
      <c r="B11" s="1286" t="s">
        <v>733</v>
      </c>
      <c r="C11" s="782">
        <f>'TAR_Tab 2_Volumina'!N14</f>
        <v>1</v>
      </c>
      <c r="D11" s="976"/>
      <c r="E11" s="1318">
        <v>35722.02781136518</v>
      </c>
      <c r="F11" s="1116">
        <f t="shared" si="0"/>
        <v>33993.081665295103</v>
      </c>
      <c r="G11" s="1116">
        <f t="shared" si="1"/>
        <v>34787.534164485827</v>
      </c>
      <c r="H11" s="976"/>
      <c r="I11" s="1117">
        <f t="shared" si="3"/>
        <v>33048.157456261535</v>
      </c>
      <c r="J11" s="1117">
        <f t="shared" si="3"/>
        <v>36526.910872710119</v>
      </c>
      <c r="K11" s="1320"/>
      <c r="L11" s="1000" t="str">
        <f t="shared" si="4"/>
        <v/>
      </c>
      <c r="M11" s="1118">
        <f t="shared" si="5"/>
        <v>34787.534164485827</v>
      </c>
      <c r="N11" s="976"/>
      <c r="O11" s="1119">
        <f t="shared" si="6"/>
        <v>-1613.3713496037913</v>
      </c>
      <c r="P11" s="1119">
        <f t="shared" si="2"/>
        <v>1669.4094408962371</v>
      </c>
      <c r="Q11" s="1119">
        <f t="shared" si="2"/>
        <v>0</v>
      </c>
      <c r="R11" s="1119">
        <f t="shared" si="2"/>
        <v>62.89083051203594</v>
      </c>
      <c r="S11" s="1119">
        <f t="shared" si="2"/>
        <v>1456.5396964682793</v>
      </c>
      <c r="T11" s="1119">
        <f t="shared" si="2"/>
        <v>-190.61821729297034</v>
      </c>
      <c r="U11" s="1119">
        <f t="shared" si="2"/>
        <v>-7.1712725559572243</v>
      </c>
      <c r="V11" s="1119">
        <f t="shared" si="2"/>
        <v>-592.93851547629686</v>
      </c>
      <c r="W11" s="1119">
        <f t="shared" si="2"/>
        <v>46.784885820729031</v>
      </c>
      <c r="X11" s="978"/>
      <c r="Y11" s="1120">
        <f t="shared" si="7"/>
        <v>35619.059663254091</v>
      </c>
      <c r="Z11" s="1354"/>
      <c r="AA11" s="1001">
        <v>0.13612784847782589</v>
      </c>
      <c r="AB11" s="978"/>
      <c r="AC11" s="1036">
        <f t="shared" si="8"/>
        <v>0.13612784847782589</v>
      </c>
      <c r="AD11" s="783">
        <f t="shared" si="9"/>
        <v>0.13600000000000001</v>
      </c>
      <c r="AE11" s="1321"/>
      <c r="AF11" s="1322"/>
      <c r="AG11" s="740"/>
    </row>
    <row r="12" spans="1:33">
      <c r="A12" s="96">
        <v>300011</v>
      </c>
      <c r="B12" s="1286" t="s">
        <v>734</v>
      </c>
      <c r="C12" s="782">
        <f>'TAR_Tab 2_Volumina'!N15</f>
        <v>1</v>
      </c>
      <c r="D12" s="976"/>
      <c r="E12" s="1318">
        <v>17861.01390568259</v>
      </c>
      <c r="F12" s="1116">
        <f t="shared" si="0"/>
        <v>16996.540832647552</v>
      </c>
      <c r="G12" s="1116">
        <f t="shared" si="1"/>
        <v>17393.767082242914</v>
      </c>
      <c r="H12" s="976"/>
      <c r="I12" s="1117">
        <f>$G12*I$5</f>
        <v>16524.078728130768</v>
      </c>
      <c r="J12" s="1117">
        <f>$G12*J$5</f>
        <v>18263.45543635506</v>
      </c>
      <c r="K12" s="1320"/>
      <c r="L12" s="1000" t="str">
        <f t="shared" si="4"/>
        <v/>
      </c>
      <c r="M12" s="1118">
        <f t="shared" si="5"/>
        <v>17393.767082242914</v>
      </c>
      <c r="N12" s="976"/>
      <c r="O12" s="1119">
        <f t="shared" si="6"/>
        <v>-806.68567480189563</v>
      </c>
      <c r="P12" s="1119">
        <f t="shared" si="2"/>
        <v>834.70472044811856</v>
      </c>
      <c r="Q12" s="1119">
        <f t="shared" si="2"/>
        <v>0</v>
      </c>
      <c r="R12" s="1119">
        <f t="shared" si="2"/>
        <v>31.44541525601797</v>
      </c>
      <c r="S12" s="1119">
        <f t="shared" si="2"/>
        <v>728.26984823413966</v>
      </c>
      <c r="T12" s="1119">
        <f t="shared" si="2"/>
        <v>-95.309108646485171</v>
      </c>
      <c r="U12" s="1119">
        <f t="shared" si="2"/>
        <v>-3.5856362779786122</v>
      </c>
      <c r="V12" s="1119">
        <f t="shared" si="2"/>
        <v>-296.46925773814843</v>
      </c>
      <c r="W12" s="1119">
        <f t="shared" si="2"/>
        <v>23.392442910364515</v>
      </c>
      <c r="X12" s="978"/>
      <c r="Y12" s="1120">
        <f t="shared" si="7"/>
        <v>17809.529831627045</v>
      </c>
      <c r="Z12" s="1354"/>
      <c r="AA12" s="1001">
        <v>0.1112593488712748</v>
      </c>
      <c r="AB12" s="978"/>
      <c r="AC12" s="1036">
        <f t="shared" si="8"/>
        <v>0.1112593488712748</v>
      </c>
      <c r="AD12" s="783">
        <f t="shared" si="9"/>
        <v>0.111</v>
      </c>
      <c r="AE12" s="1321"/>
      <c r="AF12" s="1322"/>
      <c r="AG12" s="740"/>
    </row>
    <row r="13" spans="1:33">
      <c r="A13" s="96">
        <v>300012</v>
      </c>
      <c r="B13" s="1286" t="s">
        <v>735</v>
      </c>
      <c r="C13" s="782">
        <f>'TAR_Tab 2_Volumina'!N16</f>
        <v>1</v>
      </c>
      <c r="D13" s="976"/>
      <c r="E13" s="1318">
        <v>89305.069528412947</v>
      </c>
      <c r="F13" s="1116">
        <f t="shared" si="0"/>
        <v>84982.704163237766</v>
      </c>
      <c r="G13" s="1116">
        <f t="shared" si="1"/>
        <v>86968.835411214575</v>
      </c>
      <c r="H13" s="976"/>
      <c r="I13" s="1117">
        <f t="shared" ref="I13:J76" si="10">$G13*I$5</f>
        <v>82620.393640653841</v>
      </c>
      <c r="J13" s="1117">
        <f t="shared" si="10"/>
        <v>91317.277181775309</v>
      </c>
      <c r="K13" s="1320"/>
      <c r="L13" s="1000" t="str">
        <f t="shared" si="4"/>
        <v/>
      </c>
      <c r="M13" s="1118">
        <f t="shared" si="5"/>
        <v>86968.835411214575</v>
      </c>
      <c r="N13" s="976"/>
      <c r="O13" s="1119">
        <f t="shared" si="6"/>
        <v>-4033.4283740094784</v>
      </c>
      <c r="P13" s="1119">
        <f t="shared" si="2"/>
        <v>4173.5236022405934</v>
      </c>
      <c r="Q13" s="1119">
        <f t="shared" si="2"/>
        <v>0</v>
      </c>
      <c r="R13" s="1119">
        <f t="shared" si="2"/>
        <v>157.22707628008988</v>
      </c>
      <c r="S13" s="1119">
        <f t="shared" si="2"/>
        <v>3641.3492411706984</v>
      </c>
      <c r="T13" s="1119">
        <f t="shared" si="2"/>
        <v>-476.54554323242587</v>
      </c>
      <c r="U13" s="1119">
        <f t="shared" si="2"/>
        <v>-17.928181389893062</v>
      </c>
      <c r="V13" s="1119">
        <f t="shared" si="2"/>
        <v>-1482.3462886907421</v>
      </c>
      <c r="W13" s="1119">
        <f t="shared" si="2"/>
        <v>116.96221455182258</v>
      </c>
      <c r="X13" s="978"/>
      <c r="Y13" s="1120">
        <f t="shared" si="7"/>
        <v>89047.649158135246</v>
      </c>
      <c r="Z13" s="1354"/>
      <c r="AA13" s="1001">
        <v>0.10093793369554976</v>
      </c>
      <c r="AB13" s="978"/>
      <c r="AC13" s="1036">
        <f t="shared" si="8"/>
        <v>0.10093793369554976</v>
      </c>
      <c r="AD13" s="783">
        <f t="shared" si="9"/>
        <v>0.10100000000000001</v>
      </c>
      <c r="AE13" s="1321"/>
      <c r="AF13" s="1322"/>
      <c r="AG13" s="740"/>
    </row>
    <row r="14" spans="1:33">
      <c r="A14" s="96">
        <v>300016</v>
      </c>
      <c r="B14" s="1286" t="s">
        <v>50</v>
      </c>
      <c r="C14" s="782">
        <f>'TAR_Tab 2_Volumina'!N17</f>
        <v>0</v>
      </c>
      <c r="D14" s="976"/>
      <c r="E14" s="1318">
        <v>0</v>
      </c>
      <c r="F14" s="1116">
        <f t="shared" si="0"/>
        <v>0</v>
      </c>
      <c r="G14" s="1116">
        <f t="shared" si="1"/>
        <v>0</v>
      </c>
      <c r="H14" s="976"/>
      <c r="I14" s="1117">
        <f t="shared" si="10"/>
        <v>0</v>
      </c>
      <c r="J14" s="1117">
        <f t="shared" si="10"/>
        <v>0</v>
      </c>
      <c r="K14" s="1320"/>
      <c r="L14" s="1000" t="str">
        <f t="shared" si="4"/>
        <v/>
      </c>
      <c r="M14" s="1118">
        <f t="shared" si="5"/>
        <v>0</v>
      </c>
      <c r="N14" s="976"/>
      <c r="O14" s="1119">
        <f t="shared" si="6"/>
        <v>0</v>
      </c>
      <c r="P14" s="1119">
        <f t="shared" si="2"/>
        <v>0</v>
      </c>
      <c r="Q14" s="1119">
        <f t="shared" si="2"/>
        <v>0</v>
      </c>
      <c r="R14" s="1119">
        <f t="shared" si="2"/>
        <v>0</v>
      </c>
      <c r="S14" s="1119">
        <f t="shared" si="2"/>
        <v>0</v>
      </c>
      <c r="T14" s="1119">
        <f t="shared" si="2"/>
        <v>0</v>
      </c>
      <c r="U14" s="1119">
        <f t="shared" si="2"/>
        <v>0</v>
      </c>
      <c r="V14" s="1119">
        <f t="shared" si="2"/>
        <v>0</v>
      </c>
      <c r="W14" s="1119">
        <f t="shared" si="2"/>
        <v>0</v>
      </c>
      <c r="X14" s="978"/>
      <c r="Y14" s="1120">
        <f t="shared" si="7"/>
        <v>0</v>
      </c>
      <c r="Z14" s="1354"/>
      <c r="AA14" s="1001">
        <v>0</v>
      </c>
      <c r="AB14" s="978"/>
      <c r="AC14" s="1036">
        <f t="shared" si="8"/>
        <v>0</v>
      </c>
      <c r="AD14" s="783">
        <f t="shared" si="9"/>
        <v>0</v>
      </c>
      <c r="AE14" s="1321"/>
      <c r="AF14" s="1322"/>
      <c r="AG14" s="740"/>
    </row>
    <row r="15" spans="1:33">
      <c r="A15" s="96">
        <v>300024</v>
      </c>
      <c r="B15" s="1286" t="s">
        <v>736</v>
      </c>
      <c r="C15" s="782">
        <f>'TAR_Tab 2_Volumina'!N18</f>
        <v>1</v>
      </c>
      <c r="D15" s="976"/>
      <c r="E15" s="1318">
        <v>17861.01390568259</v>
      </c>
      <c r="F15" s="1116">
        <f t="shared" si="0"/>
        <v>16996.540832647552</v>
      </c>
      <c r="G15" s="1116">
        <f t="shared" si="1"/>
        <v>17393.767082242914</v>
      </c>
      <c r="H15" s="976"/>
      <c r="I15" s="1117">
        <f t="shared" si="10"/>
        <v>16524.078728130768</v>
      </c>
      <c r="J15" s="1117">
        <f t="shared" si="10"/>
        <v>18263.45543635506</v>
      </c>
      <c r="K15" s="1320"/>
      <c r="L15" s="1000" t="str">
        <f t="shared" si="4"/>
        <v/>
      </c>
      <c r="M15" s="1118">
        <f t="shared" si="5"/>
        <v>17393.767082242914</v>
      </c>
      <c r="N15" s="976"/>
      <c r="O15" s="1119">
        <f t="shared" si="6"/>
        <v>-806.68567480189563</v>
      </c>
      <c r="P15" s="1119">
        <f t="shared" si="2"/>
        <v>834.70472044811856</v>
      </c>
      <c r="Q15" s="1119">
        <f t="shared" si="2"/>
        <v>0</v>
      </c>
      <c r="R15" s="1119">
        <f t="shared" si="2"/>
        <v>31.44541525601797</v>
      </c>
      <c r="S15" s="1119">
        <f t="shared" si="2"/>
        <v>728.26984823413966</v>
      </c>
      <c r="T15" s="1119">
        <f t="shared" si="2"/>
        <v>-95.309108646485171</v>
      </c>
      <c r="U15" s="1119">
        <f t="shared" si="2"/>
        <v>-3.5856362779786122</v>
      </c>
      <c r="V15" s="1119">
        <f t="shared" si="2"/>
        <v>-296.46925773814843</v>
      </c>
      <c r="W15" s="1119">
        <f t="shared" si="2"/>
        <v>23.392442910364515</v>
      </c>
      <c r="X15" s="978"/>
      <c r="Y15" s="1120">
        <f t="shared" si="7"/>
        <v>17809.529831627045</v>
      </c>
      <c r="Z15" s="1354"/>
      <c r="AA15" s="1001">
        <v>0.14958781238694102</v>
      </c>
      <c r="AB15" s="978"/>
      <c r="AC15" s="1036">
        <f t="shared" si="8"/>
        <v>0.14958781238694102</v>
      </c>
      <c r="AD15" s="783">
        <f t="shared" si="9"/>
        <v>0.15</v>
      </c>
      <c r="AE15" s="1321"/>
      <c r="AF15" s="1322"/>
      <c r="AG15" s="740"/>
    </row>
    <row r="16" spans="1:33">
      <c r="A16" s="96">
        <v>300025</v>
      </c>
      <c r="B16" s="1286" t="s">
        <v>737</v>
      </c>
      <c r="C16" s="782">
        <f>'TAR_Tab 2_Volumina'!N19</f>
        <v>1</v>
      </c>
      <c r="D16" s="976"/>
      <c r="E16" s="1318">
        <v>17861.01390568259</v>
      </c>
      <c r="F16" s="1116">
        <f t="shared" si="0"/>
        <v>16996.540832647552</v>
      </c>
      <c r="G16" s="1116">
        <f t="shared" si="1"/>
        <v>17393.767082242914</v>
      </c>
      <c r="H16" s="976"/>
      <c r="I16" s="1117">
        <f t="shared" si="10"/>
        <v>16524.078728130768</v>
      </c>
      <c r="J16" s="1117">
        <f t="shared" si="10"/>
        <v>18263.45543635506</v>
      </c>
      <c r="K16" s="1320"/>
      <c r="L16" s="1000" t="str">
        <f t="shared" si="4"/>
        <v/>
      </c>
      <c r="M16" s="1118">
        <f t="shared" si="5"/>
        <v>17393.767082242914</v>
      </c>
      <c r="N16" s="976"/>
      <c r="O16" s="1119">
        <f t="shared" si="6"/>
        <v>-806.68567480189563</v>
      </c>
      <c r="P16" s="1119">
        <f t="shared" si="2"/>
        <v>834.70472044811856</v>
      </c>
      <c r="Q16" s="1119">
        <f t="shared" si="2"/>
        <v>0</v>
      </c>
      <c r="R16" s="1119">
        <f t="shared" si="2"/>
        <v>31.44541525601797</v>
      </c>
      <c r="S16" s="1119">
        <f t="shared" si="2"/>
        <v>728.26984823413966</v>
      </c>
      <c r="T16" s="1119">
        <f t="shared" si="2"/>
        <v>-95.309108646485171</v>
      </c>
      <c r="U16" s="1119">
        <f t="shared" si="2"/>
        <v>-3.5856362779786122</v>
      </c>
      <c r="V16" s="1119">
        <f t="shared" si="2"/>
        <v>-296.46925773814843</v>
      </c>
      <c r="W16" s="1119">
        <f t="shared" si="2"/>
        <v>23.392442910364515</v>
      </c>
      <c r="X16" s="978"/>
      <c r="Y16" s="1120">
        <f t="shared" si="7"/>
        <v>17809.529831627045</v>
      </c>
      <c r="Z16" s="1354"/>
      <c r="AA16" s="1001">
        <v>0.11302462969440281</v>
      </c>
      <c r="AB16" s="978"/>
      <c r="AC16" s="1036">
        <f t="shared" si="8"/>
        <v>0.11302462969440281</v>
      </c>
      <c r="AD16" s="783">
        <f t="shared" si="9"/>
        <v>0.113</v>
      </c>
      <c r="AE16" s="1321"/>
      <c r="AF16" s="1322"/>
      <c r="AG16" s="740"/>
    </row>
    <row r="17" spans="1:33">
      <c r="A17" s="96">
        <v>300027</v>
      </c>
      <c r="B17" s="1286" t="s">
        <v>259</v>
      </c>
      <c r="C17" s="782">
        <f>'TAR_Tab 2_Volumina'!N20</f>
        <v>1</v>
      </c>
      <c r="D17" s="976"/>
      <c r="E17" s="1318">
        <v>35722.02781136518</v>
      </c>
      <c r="F17" s="1116">
        <f t="shared" si="0"/>
        <v>33993.081665295103</v>
      </c>
      <c r="G17" s="1116">
        <f t="shared" si="1"/>
        <v>34787.534164485827</v>
      </c>
      <c r="H17" s="976"/>
      <c r="I17" s="1117">
        <f t="shared" si="10"/>
        <v>33048.157456261535</v>
      </c>
      <c r="J17" s="1117">
        <f t="shared" si="10"/>
        <v>36526.910872710119</v>
      </c>
      <c r="K17" s="1320"/>
      <c r="L17" s="1000" t="str">
        <f t="shared" si="4"/>
        <v/>
      </c>
      <c r="M17" s="1118">
        <f t="shared" si="5"/>
        <v>34787.534164485827</v>
      </c>
      <c r="N17" s="976"/>
      <c r="O17" s="1119">
        <f t="shared" si="6"/>
        <v>-1613.3713496037913</v>
      </c>
      <c r="P17" s="1119">
        <f t="shared" si="2"/>
        <v>1669.4094408962371</v>
      </c>
      <c r="Q17" s="1119">
        <f t="shared" si="2"/>
        <v>0</v>
      </c>
      <c r="R17" s="1119">
        <f t="shared" si="2"/>
        <v>62.89083051203594</v>
      </c>
      <c r="S17" s="1119">
        <f t="shared" si="2"/>
        <v>1456.5396964682793</v>
      </c>
      <c r="T17" s="1119">
        <f t="shared" si="2"/>
        <v>-190.61821729297034</v>
      </c>
      <c r="U17" s="1119">
        <f t="shared" si="2"/>
        <v>-7.1712725559572243</v>
      </c>
      <c r="V17" s="1119">
        <f t="shared" si="2"/>
        <v>-592.93851547629686</v>
      </c>
      <c r="W17" s="1119">
        <f t="shared" si="2"/>
        <v>46.784885820729031</v>
      </c>
      <c r="X17" s="978"/>
      <c r="Y17" s="1120">
        <f t="shared" si="7"/>
        <v>35619.059663254091</v>
      </c>
      <c r="Z17" s="1354"/>
      <c r="AA17" s="1001">
        <v>0.20805765170698545</v>
      </c>
      <c r="AB17" s="978"/>
      <c r="AC17" s="1036">
        <f t="shared" si="8"/>
        <v>0.20805765170698545</v>
      </c>
      <c r="AD17" s="783">
        <f t="shared" si="9"/>
        <v>0.20799999999999999</v>
      </c>
      <c r="AE17" s="1321"/>
      <c r="AF17" s="1322"/>
      <c r="AG17" s="740"/>
    </row>
    <row r="18" spans="1:33">
      <c r="A18" s="96">
        <v>300031</v>
      </c>
      <c r="B18" s="1286" t="s">
        <v>738</v>
      </c>
      <c r="C18" s="782">
        <f>'TAR_Tab 2_Volumina'!N21</f>
        <v>1</v>
      </c>
      <c r="D18" s="976"/>
      <c r="E18" s="1318">
        <v>17861.01390568259</v>
      </c>
      <c r="F18" s="1116">
        <f t="shared" si="0"/>
        <v>16996.540832647552</v>
      </c>
      <c r="G18" s="1116">
        <f t="shared" si="1"/>
        <v>17393.767082242914</v>
      </c>
      <c r="H18" s="976"/>
      <c r="I18" s="1117">
        <f t="shared" si="10"/>
        <v>16524.078728130768</v>
      </c>
      <c r="J18" s="1117">
        <f t="shared" si="10"/>
        <v>18263.45543635506</v>
      </c>
      <c r="K18" s="1320"/>
      <c r="L18" s="1000" t="str">
        <f t="shared" si="4"/>
        <v/>
      </c>
      <c r="M18" s="1118">
        <f t="shared" si="5"/>
        <v>17393.767082242914</v>
      </c>
      <c r="N18" s="976"/>
      <c r="O18" s="1119">
        <f t="shared" si="6"/>
        <v>-806.68567480189563</v>
      </c>
      <c r="P18" s="1119">
        <f t="shared" si="2"/>
        <v>834.70472044811856</v>
      </c>
      <c r="Q18" s="1119">
        <f t="shared" si="2"/>
        <v>0</v>
      </c>
      <c r="R18" s="1119">
        <f t="shared" si="2"/>
        <v>31.44541525601797</v>
      </c>
      <c r="S18" s="1119">
        <f t="shared" si="2"/>
        <v>728.26984823413966</v>
      </c>
      <c r="T18" s="1119">
        <f t="shared" si="2"/>
        <v>-95.309108646485171</v>
      </c>
      <c r="U18" s="1119">
        <f t="shared" si="2"/>
        <v>-3.5856362779786122</v>
      </c>
      <c r="V18" s="1119">
        <f t="shared" si="2"/>
        <v>-296.46925773814843</v>
      </c>
      <c r="W18" s="1119">
        <f t="shared" si="2"/>
        <v>23.392442910364515</v>
      </c>
      <c r="X18" s="978"/>
      <c r="Y18" s="1120">
        <f t="shared" si="7"/>
        <v>17809.529831627045</v>
      </c>
      <c r="Z18" s="1354"/>
      <c r="AA18" s="1001">
        <v>0.10650482312227198</v>
      </c>
      <c r="AB18" s="978"/>
      <c r="AC18" s="1036">
        <f t="shared" si="8"/>
        <v>0.10650482312227198</v>
      </c>
      <c r="AD18" s="783">
        <f t="shared" si="9"/>
        <v>0.107</v>
      </c>
      <c r="AE18" s="1321"/>
      <c r="AF18" s="1322"/>
      <c r="AG18" s="740"/>
    </row>
    <row r="19" spans="1:33">
      <c r="A19" s="96">
        <v>300032</v>
      </c>
      <c r="B19" s="1286" t="s">
        <v>51</v>
      </c>
      <c r="C19" s="782">
        <f>'TAR_Tab 2_Volumina'!N22</f>
        <v>1</v>
      </c>
      <c r="D19" s="976"/>
      <c r="E19" s="1318">
        <v>17861.01390568259</v>
      </c>
      <c r="F19" s="1116">
        <f t="shared" si="0"/>
        <v>16996.540832647552</v>
      </c>
      <c r="G19" s="1116">
        <f t="shared" si="1"/>
        <v>17393.767082242914</v>
      </c>
      <c r="H19" s="976"/>
      <c r="I19" s="1117">
        <f t="shared" si="10"/>
        <v>16524.078728130768</v>
      </c>
      <c r="J19" s="1117">
        <f t="shared" si="10"/>
        <v>18263.45543635506</v>
      </c>
      <c r="K19" s="1320"/>
      <c r="L19" s="1000" t="str">
        <f t="shared" si="4"/>
        <v/>
      </c>
      <c r="M19" s="1118">
        <f t="shared" si="5"/>
        <v>17393.767082242914</v>
      </c>
      <c r="N19" s="976"/>
      <c r="O19" s="1119">
        <f t="shared" si="6"/>
        <v>-806.68567480189563</v>
      </c>
      <c r="P19" s="1119">
        <f t="shared" si="2"/>
        <v>834.70472044811856</v>
      </c>
      <c r="Q19" s="1119">
        <f t="shared" si="2"/>
        <v>0</v>
      </c>
      <c r="R19" s="1119">
        <f t="shared" si="2"/>
        <v>31.44541525601797</v>
      </c>
      <c r="S19" s="1119">
        <f t="shared" si="2"/>
        <v>728.26984823413966</v>
      </c>
      <c r="T19" s="1119">
        <f t="shared" si="2"/>
        <v>-95.309108646485171</v>
      </c>
      <c r="U19" s="1119">
        <f t="shared" si="2"/>
        <v>-3.5856362779786122</v>
      </c>
      <c r="V19" s="1119">
        <f t="shared" si="2"/>
        <v>-296.46925773814843</v>
      </c>
      <c r="W19" s="1119">
        <f t="shared" si="2"/>
        <v>23.392442910364515</v>
      </c>
      <c r="X19" s="978"/>
      <c r="Y19" s="1120">
        <f t="shared" si="7"/>
        <v>17809.529831627045</v>
      </c>
      <c r="Z19" s="1354"/>
      <c r="AA19" s="1001">
        <v>0.1071125478800791</v>
      </c>
      <c r="AB19" s="978"/>
      <c r="AC19" s="1036">
        <f t="shared" si="8"/>
        <v>0.1071125478800791</v>
      </c>
      <c r="AD19" s="783">
        <f t="shared" si="9"/>
        <v>0.107</v>
      </c>
      <c r="AE19" s="1321"/>
      <c r="AF19" s="1322"/>
      <c r="AG19" s="740"/>
    </row>
    <row r="20" spans="1:33">
      <c r="A20" s="96">
        <v>300034</v>
      </c>
      <c r="B20" s="1286" t="s">
        <v>739</v>
      </c>
      <c r="C20" s="782">
        <f>'TAR_Tab 2_Volumina'!N23</f>
        <v>1</v>
      </c>
      <c r="D20" s="976"/>
      <c r="E20" s="1318">
        <v>17861.01390568259</v>
      </c>
      <c r="F20" s="1116">
        <f t="shared" si="0"/>
        <v>16996.540832647552</v>
      </c>
      <c r="G20" s="1116">
        <f t="shared" si="1"/>
        <v>17393.767082242914</v>
      </c>
      <c r="H20" s="976"/>
      <c r="I20" s="1117">
        <f t="shared" si="10"/>
        <v>16524.078728130768</v>
      </c>
      <c r="J20" s="1117">
        <f t="shared" si="10"/>
        <v>18263.45543635506</v>
      </c>
      <c r="K20" s="1320"/>
      <c r="L20" s="1000" t="str">
        <f t="shared" si="4"/>
        <v/>
      </c>
      <c r="M20" s="1118">
        <f t="shared" si="5"/>
        <v>17393.767082242914</v>
      </c>
      <c r="N20" s="976"/>
      <c r="O20" s="1119">
        <f t="shared" si="6"/>
        <v>-806.68567480189563</v>
      </c>
      <c r="P20" s="1119">
        <f t="shared" si="2"/>
        <v>834.70472044811856</v>
      </c>
      <c r="Q20" s="1119">
        <f t="shared" si="2"/>
        <v>0</v>
      </c>
      <c r="R20" s="1119">
        <f t="shared" si="2"/>
        <v>31.44541525601797</v>
      </c>
      <c r="S20" s="1119">
        <f t="shared" si="2"/>
        <v>728.26984823413966</v>
      </c>
      <c r="T20" s="1119">
        <f t="shared" si="2"/>
        <v>-95.309108646485171</v>
      </c>
      <c r="U20" s="1119">
        <f t="shared" si="2"/>
        <v>-3.5856362779786122</v>
      </c>
      <c r="V20" s="1119">
        <f t="shared" si="2"/>
        <v>-296.46925773814843</v>
      </c>
      <c r="W20" s="1119">
        <f t="shared" si="2"/>
        <v>23.392442910364515</v>
      </c>
      <c r="X20" s="978"/>
      <c r="Y20" s="1120">
        <f t="shared" si="7"/>
        <v>17809.529831627045</v>
      </c>
      <c r="Z20" s="1354"/>
      <c r="AA20" s="1001">
        <v>0.21560342842398297</v>
      </c>
      <c r="AB20" s="978"/>
      <c r="AC20" s="1036">
        <f t="shared" si="8"/>
        <v>0.21560342842398297</v>
      </c>
      <c r="AD20" s="783">
        <f t="shared" si="9"/>
        <v>0.216</v>
      </c>
      <c r="AE20" s="1321"/>
      <c r="AF20" s="1322"/>
      <c r="AG20" s="740"/>
    </row>
    <row r="21" spans="1:33">
      <c r="A21" s="96">
        <v>300035</v>
      </c>
      <c r="B21" s="1286" t="s">
        <v>740</v>
      </c>
      <c r="C21" s="782">
        <f>'TAR_Tab 2_Volumina'!N24</f>
        <v>1</v>
      </c>
      <c r="D21" s="976"/>
      <c r="E21" s="1318">
        <v>17861.01390568259</v>
      </c>
      <c r="F21" s="1116">
        <f t="shared" si="0"/>
        <v>16996.540832647552</v>
      </c>
      <c r="G21" s="1116">
        <f t="shared" si="1"/>
        <v>17393.767082242914</v>
      </c>
      <c r="H21" s="976"/>
      <c r="I21" s="1117">
        <f t="shared" si="10"/>
        <v>16524.078728130768</v>
      </c>
      <c r="J21" s="1117">
        <f t="shared" si="10"/>
        <v>18263.45543635506</v>
      </c>
      <c r="K21" s="1320"/>
      <c r="L21" s="1000" t="str">
        <f t="shared" si="4"/>
        <v/>
      </c>
      <c r="M21" s="1118">
        <f t="shared" si="5"/>
        <v>17393.767082242914</v>
      </c>
      <c r="N21" s="976"/>
      <c r="O21" s="1119">
        <f t="shared" si="6"/>
        <v>-806.68567480189563</v>
      </c>
      <c r="P21" s="1119">
        <f t="shared" si="2"/>
        <v>834.70472044811856</v>
      </c>
      <c r="Q21" s="1119">
        <f t="shared" si="2"/>
        <v>0</v>
      </c>
      <c r="R21" s="1119">
        <f t="shared" si="2"/>
        <v>31.44541525601797</v>
      </c>
      <c r="S21" s="1119">
        <f t="shared" si="2"/>
        <v>728.26984823413966</v>
      </c>
      <c r="T21" s="1119">
        <f t="shared" si="2"/>
        <v>-95.309108646485171</v>
      </c>
      <c r="U21" s="1119">
        <f t="shared" si="2"/>
        <v>-3.5856362779786122</v>
      </c>
      <c r="V21" s="1119">
        <f t="shared" si="2"/>
        <v>-296.46925773814843</v>
      </c>
      <c r="W21" s="1119">
        <f t="shared" si="2"/>
        <v>23.392442910364515</v>
      </c>
      <c r="X21" s="978"/>
      <c r="Y21" s="1120">
        <f t="shared" si="7"/>
        <v>17809.529831627045</v>
      </c>
      <c r="Z21" s="1354"/>
      <c r="AA21" s="1001">
        <v>0.13235919230516449</v>
      </c>
      <c r="AB21" s="978"/>
      <c r="AC21" s="1036">
        <f t="shared" si="8"/>
        <v>0.13235919230516449</v>
      </c>
      <c r="AD21" s="783">
        <f t="shared" si="9"/>
        <v>0.13200000000000001</v>
      </c>
      <c r="AE21" s="1321"/>
      <c r="AF21" s="1322"/>
      <c r="AG21" s="740"/>
    </row>
    <row r="22" spans="1:33">
      <c r="A22" s="96">
        <v>300039</v>
      </c>
      <c r="B22" s="1286" t="s">
        <v>741</v>
      </c>
      <c r="C22" s="782">
        <f>'TAR_Tab 2_Volumina'!N25</f>
        <v>1</v>
      </c>
      <c r="D22" s="976"/>
      <c r="E22" s="1318">
        <v>17861.01390568259</v>
      </c>
      <c r="F22" s="1116">
        <f t="shared" si="0"/>
        <v>16996.540832647552</v>
      </c>
      <c r="G22" s="1116">
        <f t="shared" si="1"/>
        <v>17393.767082242914</v>
      </c>
      <c r="H22" s="976"/>
      <c r="I22" s="1117">
        <f t="shared" si="10"/>
        <v>16524.078728130768</v>
      </c>
      <c r="J22" s="1117">
        <f t="shared" si="10"/>
        <v>18263.45543635506</v>
      </c>
      <c r="K22" s="1320"/>
      <c r="L22" s="1000" t="str">
        <f t="shared" si="4"/>
        <v/>
      </c>
      <c r="M22" s="1118">
        <f t="shared" si="5"/>
        <v>17393.767082242914</v>
      </c>
      <c r="N22" s="976"/>
      <c r="O22" s="1119">
        <f t="shared" si="6"/>
        <v>-806.68567480189563</v>
      </c>
      <c r="P22" s="1119">
        <f t="shared" si="2"/>
        <v>834.70472044811856</v>
      </c>
      <c r="Q22" s="1119">
        <f t="shared" si="2"/>
        <v>0</v>
      </c>
      <c r="R22" s="1119">
        <f t="shared" si="2"/>
        <v>31.44541525601797</v>
      </c>
      <c r="S22" s="1119">
        <f t="shared" si="2"/>
        <v>728.26984823413966</v>
      </c>
      <c r="T22" s="1119">
        <f t="shared" si="2"/>
        <v>-95.309108646485171</v>
      </c>
      <c r="U22" s="1119">
        <f t="shared" si="2"/>
        <v>-3.5856362779786122</v>
      </c>
      <c r="V22" s="1119">
        <f t="shared" si="2"/>
        <v>-296.46925773814843</v>
      </c>
      <c r="W22" s="1119">
        <f t="shared" si="2"/>
        <v>23.392442910364515</v>
      </c>
      <c r="X22" s="978"/>
      <c r="Y22" s="1120">
        <f t="shared" si="7"/>
        <v>17809.529831627045</v>
      </c>
      <c r="Z22" s="1354"/>
      <c r="AA22" s="1001">
        <v>0.44742788194323602</v>
      </c>
      <c r="AB22" s="978"/>
      <c r="AC22" s="1036">
        <f t="shared" si="8"/>
        <v>0.44742788194323602</v>
      </c>
      <c r="AD22" s="783">
        <f t="shared" si="9"/>
        <v>0.44700000000000001</v>
      </c>
      <c r="AE22" s="1321"/>
      <c r="AF22" s="1322"/>
      <c r="AG22" s="740"/>
    </row>
    <row r="23" spans="1:33">
      <c r="A23" s="96">
        <v>300042</v>
      </c>
      <c r="B23" s="1286" t="s">
        <v>260</v>
      </c>
      <c r="C23" s="782">
        <f>'TAR_Tab 2_Volumina'!N26</f>
        <v>1</v>
      </c>
      <c r="D23" s="976"/>
      <c r="E23" s="1318">
        <v>35722.02781136518</v>
      </c>
      <c r="F23" s="1116">
        <f t="shared" si="0"/>
        <v>33993.081665295103</v>
      </c>
      <c r="G23" s="1116">
        <f t="shared" si="1"/>
        <v>34787.534164485827</v>
      </c>
      <c r="H23" s="976"/>
      <c r="I23" s="1117">
        <f t="shared" si="10"/>
        <v>33048.157456261535</v>
      </c>
      <c r="J23" s="1117">
        <f t="shared" si="10"/>
        <v>36526.910872710119</v>
      </c>
      <c r="K23" s="1320"/>
      <c r="L23" s="1000" t="str">
        <f t="shared" si="4"/>
        <v/>
      </c>
      <c r="M23" s="1118">
        <f t="shared" si="5"/>
        <v>34787.534164485827</v>
      </c>
      <c r="N23" s="976"/>
      <c r="O23" s="1119">
        <f t="shared" si="6"/>
        <v>-1613.3713496037913</v>
      </c>
      <c r="P23" s="1119">
        <f t="shared" si="6"/>
        <v>1669.4094408962371</v>
      </c>
      <c r="Q23" s="1119">
        <f t="shared" si="6"/>
        <v>0</v>
      </c>
      <c r="R23" s="1119">
        <f t="shared" si="6"/>
        <v>62.89083051203594</v>
      </c>
      <c r="S23" s="1119">
        <f t="shared" si="6"/>
        <v>1456.5396964682793</v>
      </c>
      <c r="T23" s="1119">
        <f t="shared" si="6"/>
        <v>-190.61821729297034</v>
      </c>
      <c r="U23" s="1119">
        <f t="shared" si="6"/>
        <v>-7.1712725559572243</v>
      </c>
      <c r="V23" s="1119">
        <f t="shared" si="6"/>
        <v>-592.93851547629686</v>
      </c>
      <c r="W23" s="1119">
        <f t="shared" si="6"/>
        <v>46.784885820729031</v>
      </c>
      <c r="X23" s="978"/>
      <c r="Y23" s="1120">
        <f t="shared" si="7"/>
        <v>35619.059663254091</v>
      </c>
      <c r="Z23" s="1354"/>
      <c r="AA23" s="1001">
        <v>0.14672988861823588</v>
      </c>
      <c r="AB23" s="978"/>
      <c r="AC23" s="1036">
        <f t="shared" si="8"/>
        <v>0.14672988861823588</v>
      </c>
      <c r="AD23" s="783">
        <f t="shared" si="9"/>
        <v>0.14699999999999999</v>
      </c>
      <c r="AE23" s="1321"/>
      <c r="AF23" s="1322"/>
      <c r="AG23" s="740"/>
    </row>
    <row r="24" spans="1:33">
      <c r="A24" s="96">
        <v>300043</v>
      </c>
      <c r="B24" s="1286" t="s">
        <v>261</v>
      </c>
      <c r="C24" s="782">
        <f>'TAR_Tab 2_Volumina'!N27</f>
        <v>1</v>
      </c>
      <c r="D24" s="976"/>
      <c r="E24" s="1318">
        <v>35722.02781136518</v>
      </c>
      <c r="F24" s="1116">
        <f t="shared" si="0"/>
        <v>33993.081665295103</v>
      </c>
      <c r="G24" s="1116">
        <f t="shared" si="1"/>
        <v>34787.534164485827</v>
      </c>
      <c r="H24" s="976"/>
      <c r="I24" s="1117">
        <f t="shared" si="10"/>
        <v>33048.157456261535</v>
      </c>
      <c r="J24" s="1117">
        <f t="shared" si="10"/>
        <v>36526.910872710119</v>
      </c>
      <c r="K24" s="1320"/>
      <c r="L24" s="1000" t="str">
        <f t="shared" si="4"/>
        <v/>
      </c>
      <c r="M24" s="1118">
        <f t="shared" si="5"/>
        <v>34787.534164485827</v>
      </c>
      <c r="N24" s="976"/>
      <c r="O24" s="1119">
        <f t="shared" si="6"/>
        <v>-1613.3713496037913</v>
      </c>
      <c r="P24" s="1119">
        <f t="shared" si="6"/>
        <v>1669.4094408962371</v>
      </c>
      <c r="Q24" s="1119">
        <f t="shared" si="6"/>
        <v>0</v>
      </c>
      <c r="R24" s="1119">
        <f t="shared" si="6"/>
        <v>62.89083051203594</v>
      </c>
      <c r="S24" s="1119">
        <f t="shared" si="6"/>
        <v>1456.5396964682793</v>
      </c>
      <c r="T24" s="1119">
        <f t="shared" si="6"/>
        <v>-190.61821729297034</v>
      </c>
      <c r="U24" s="1119">
        <f t="shared" si="6"/>
        <v>-7.1712725559572243</v>
      </c>
      <c r="V24" s="1119">
        <f t="shared" si="6"/>
        <v>-592.93851547629686</v>
      </c>
      <c r="W24" s="1119">
        <f t="shared" si="6"/>
        <v>46.784885820729031</v>
      </c>
      <c r="X24" s="978"/>
      <c r="Y24" s="1120">
        <f t="shared" si="7"/>
        <v>35619.059663254091</v>
      </c>
      <c r="Z24" s="1354"/>
      <c r="AA24" s="1001">
        <v>0.1998317975547651</v>
      </c>
      <c r="AB24" s="978"/>
      <c r="AC24" s="1036">
        <f t="shared" si="8"/>
        <v>0.1998317975547651</v>
      </c>
      <c r="AD24" s="783">
        <f t="shared" si="9"/>
        <v>0.2</v>
      </c>
      <c r="AE24" s="1321"/>
      <c r="AF24" s="1322"/>
      <c r="AG24" s="740"/>
    </row>
    <row r="25" spans="1:33">
      <c r="A25" s="96">
        <v>300049</v>
      </c>
      <c r="B25" s="1286" t="s">
        <v>742</v>
      </c>
      <c r="C25" s="782">
        <f>'TAR_Tab 2_Volumina'!N28</f>
        <v>1</v>
      </c>
      <c r="D25" s="976"/>
      <c r="E25" s="1318">
        <v>17861.01390568259</v>
      </c>
      <c r="F25" s="1116">
        <f t="shared" si="0"/>
        <v>16996.540832647552</v>
      </c>
      <c r="G25" s="1116">
        <f t="shared" si="1"/>
        <v>17393.767082242914</v>
      </c>
      <c r="H25" s="976"/>
      <c r="I25" s="1117">
        <f t="shared" si="10"/>
        <v>16524.078728130768</v>
      </c>
      <c r="J25" s="1117">
        <f t="shared" si="10"/>
        <v>18263.45543635506</v>
      </c>
      <c r="K25" s="1320"/>
      <c r="L25" s="1000" t="str">
        <f t="shared" si="4"/>
        <v/>
      </c>
      <c r="M25" s="1118">
        <f t="shared" si="5"/>
        <v>17393.767082242914</v>
      </c>
      <c r="N25" s="976"/>
      <c r="O25" s="1119">
        <f t="shared" si="6"/>
        <v>-806.68567480189563</v>
      </c>
      <c r="P25" s="1119">
        <f t="shared" si="6"/>
        <v>834.70472044811856</v>
      </c>
      <c r="Q25" s="1119">
        <f t="shared" si="6"/>
        <v>0</v>
      </c>
      <c r="R25" s="1119">
        <f t="shared" si="6"/>
        <v>31.44541525601797</v>
      </c>
      <c r="S25" s="1119">
        <f t="shared" si="6"/>
        <v>728.26984823413966</v>
      </c>
      <c r="T25" s="1119">
        <f t="shared" si="6"/>
        <v>-95.309108646485171</v>
      </c>
      <c r="U25" s="1119">
        <f t="shared" si="6"/>
        <v>-3.5856362779786122</v>
      </c>
      <c r="V25" s="1119">
        <f t="shared" si="6"/>
        <v>-296.46925773814843</v>
      </c>
      <c r="W25" s="1119">
        <f t="shared" si="6"/>
        <v>23.392442910364515</v>
      </c>
      <c r="X25" s="978"/>
      <c r="Y25" s="1120">
        <f t="shared" si="7"/>
        <v>17809.529831627045</v>
      </c>
      <c r="Z25" s="1354"/>
      <c r="AA25" s="1001">
        <v>0.12917375852409305</v>
      </c>
      <c r="AB25" s="978"/>
      <c r="AC25" s="1036">
        <f t="shared" si="8"/>
        <v>0.12917375852409305</v>
      </c>
      <c r="AD25" s="783">
        <f t="shared" si="9"/>
        <v>0.129</v>
      </c>
      <c r="AE25" s="1321"/>
      <c r="AF25" s="1322"/>
      <c r="AG25" s="740"/>
    </row>
    <row r="26" spans="1:33">
      <c r="A26" s="96">
        <v>300050</v>
      </c>
      <c r="B26" s="1286" t="s">
        <v>52</v>
      </c>
      <c r="C26" s="782">
        <f>'TAR_Tab 2_Volumina'!N29</f>
        <v>1</v>
      </c>
      <c r="D26" s="976"/>
      <c r="E26" s="1318">
        <v>17861.01390568259</v>
      </c>
      <c r="F26" s="1116">
        <f t="shared" si="0"/>
        <v>16996.540832647552</v>
      </c>
      <c r="G26" s="1116">
        <f t="shared" si="1"/>
        <v>17393.767082242914</v>
      </c>
      <c r="H26" s="976"/>
      <c r="I26" s="1117">
        <f t="shared" si="10"/>
        <v>16524.078728130768</v>
      </c>
      <c r="J26" s="1117">
        <f t="shared" si="10"/>
        <v>18263.45543635506</v>
      </c>
      <c r="K26" s="1320"/>
      <c r="L26" s="1000" t="str">
        <f t="shared" si="4"/>
        <v/>
      </c>
      <c r="M26" s="1118">
        <f t="shared" si="5"/>
        <v>17393.767082242914</v>
      </c>
      <c r="N26" s="976"/>
      <c r="O26" s="1119">
        <f t="shared" si="6"/>
        <v>-806.68567480189563</v>
      </c>
      <c r="P26" s="1119">
        <f t="shared" si="6"/>
        <v>834.70472044811856</v>
      </c>
      <c r="Q26" s="1119">
        <f t="shared" si="6"/>
        <v>0</v>
      </c>
      <c r="R26" s="1119">
        <f t="shared" si="6"/>
        <v>31.44541525601797</v>
      </c>
      <c r="S26" s="1119">
        <f t="shared" si="6"/>
        <v>728.26984823413966</v>
      </c>
      <c r="T26" s="1119">
        <f t="shared" si="6"/>
        <v>-95.309108646485171</v>
      </c>
      <c r="U26" s="1119">
        <f t="shared" si="6"/>
        <v>-3.5856362779786122</v>
      </c>
      <c r="V26" s="1119">
        <f>$M26*V$5</f>
        <v>-296.46925773814843</v>
      </c>
      <c r="W26" s="1119">
        <f t="shared" si="6"/>
        <v>23.392442910364515</v>
      </c>
      <c r="X26" s="978"/>
      <c r="Y26" s="1120">
        <f t="shared" si="7"/>
        <v>17809.529831627045</v>
      </c>
      <c r="Z26" s="1354"/>
      <c r="AA26" s="1001">
        <v>3.8423806455252604E-2</v>
      </c>
      <c r="AB26" s="978"/>
      <c r="AC26" s="1036">
        <f t="shared" si="8"/>
        <v>3.8423806455252604E-2</v>
      </c>
      <c r="AD26" s="783">
        <f t="shared" si="9"/>
        <v>3.7999999999999999E-2</v>
      </c>
      <c r="AE26" s="1321"/>
      <c r="AF26" s="1322"/>
      <c r="AG26" s="740"/>
    </row>
    <row r="27" spans="1:33">
      <c r="A27" s="96">
        <v>300052</v>
      </c>
      <c r="B27" s="1286" t="s">
        <v>53</v>
      </c>
      <c r="C27" s="782">
        <f>'TAR_Tab 2_Volumina'!N30</f>
        <v>1</v>
      </c>
      <c r="D27" s="976"/>
      <c r="E27" s="1318">
        <v>17861.01390568259</v>
      </c>
      <c r="F27" s="1116">
        <f t="shared" si="0"/>
        <v>16996.540832647552</v>
      </c>
      <c r="G27" s="1116">
        <f t="shared" si="1"/>
        <v>17393.767082242914</v>
      </c>
      <c r="H27" s="976"/>
      <c r="I27" s="1117">
        <f t="shared" si="10"/>
        <v>16524.078728130768</v>
      </c>
      <c r="J27" s="1117">
        <f t="shared" si="10"/>
        <v>18263.45543635506</v>
      </c>
      <c r="K27" s="1320"/>
      <c r="L27" s="1000" t="str">
        <f t="shared" si="4"/>
        <v/>
      </c>
      <c r="M27" s="1118">
        <f t="shared" si="5"/>
        <v>17393.767082242914</v>
      </c>
      <c r="N27" s="976"/>
      <c r="O27" s="1119">
        <f t="shared" si="6"/>
        <v>-806.68567480189563</v>
      </c>
      <c r="P27" s="1119">
        <f t="shared" si="6"/>
        <v>834.70472044811856</v>
      </c>
      <c r="Q27" s="1119">
        <f t="shared" si="6"/>
        <v>0</v>
      </c>
      <c r="R27" s="1119">
        <f t="shared" si="6"/>
        <v>31.44541525601797</v>
      </c>
      <c r="S27" s="1119">
        <f t="shared" si="6"/>
        <v>728.26984823413966</v>
      </c>
      <c r="T27" s="1119">
        <f t="shared" si="6"/>
        <v>-95.309108646485171</v>
      </c>
      <c r="U27" s="1119">
        <f t="shared" si="6"/>
        <v>-3.5856362779786122</v>
      </c>
      <c r="V27" s="1119">
        <f t="shared" si="6"/>
        <v>-296.46925773814843</v>
      </c>
      <c r="W27" s="1119">
        <f t="shared" si="6"/>
        <v>23.392442910364515</v>
      </c>
      <c r="X27" s="978"/>
      <c r="Y27" s="1120">
        <f t="shared" si="7"/>
        <v>17809.529831627045</v>
      </c>
      <c r="Z27" s="1354"/>
      <c r="AA27" s="1001">
        <v>0.10984744877625294</v>
      </c>
      <c r="AB27" s="978"/>
      <c r="AC27" s="1036">
        <f t="shared" si="8"/>
        <v>0.10984744877625294</v>
      </c>
      <c r="AD27" s="783">
        <f t="shared" si="9"/>
        <v>0.11</v>
      </c>
      <c r="AE27" s="1321"/>
      <c r="AF27" s="1322"/>
      <c r="AG27" s="740"/>
    </row>
    <row r="28" spans="1:33">
      <c r="A28" s="96">
        <v>300053</v>
      </c>
      <c r="B28" s="1286" t="s">
        <v>743</v>
      </c>
      <c r="C28" s="782">
        <f>'TAR_Tab 2_Volumina'!N31</f>
        <v>1</v>
      </c>
      <c r="D28" s="976"/>
      <c r="E28" s="1318">
        <v>35722.02781136518</v>
      </c>
      <c r="F28" s="1116">
        <f t="shared" si="0"/>
        <v>33993.081665295103</v>
      </c>
      <c r="G28" s="1116">
        <f t="shared" si="1"/>
        <v>34787.534164485827</v>
      </c>
      <c r="H28" s="976"/>
      <c r="I28" s="1117">
        <f t="shared" si="10"/>
        <v>33048.157456261535</v>
      </c>
      <c r="J28" s="1117">
        <f t="shared" si="10"/>
        <v>36526.910872710119</v>
      </c>
      <c r="K28" s="1320"/>
      <c r="L28" s="1000" t="str">
        <f t="shared" si="4"/>
        <v/>
      </c>
      <c r="M28" s="1118">
        <f t="shared" si="5"/>
        <v>34787.534164485827</v>
      </c>
      <c r="N28" s="976"/>
      <c r="O28" s="1119">
        <f t="shared" si="6"/>
        <v>-1613.3713496037913</v>
      </c>
      <c r="P28" s="1119">
        <f t="shared" si="6"/>
        <v>1669.4094408962371</v>
      </c>
      <c r="Q28" s="1119">
        <f t="shared" si="6"/>
        <v>0</v>
      </c>
      <c r="R28" s="1119">
        <f t="shared" si="6"/>
        <v>62.89083051203594</v>
      </c>
      <c r="S28" s="1119">
        <f t="shared" si="6"/>
        <v>1456.5396964682793</v>
      </c>
      <c r="T28" s="1119">
        <f t="shared" si="6"/>
        <v>-190.61821729297034</v>
      </c>
      <c r="U28" s="1119">
        <f t="shared" si="6"/>
        <v>-7.1712725559572243</v>
      </c>
      <c r="V28" s="1119">
        <f t="shared" si="6"/>
        <v>-592.93851547629686</v>
      </c>
      <c r="W28" s="1119">
        <f t="shared" si="6"/>
        <v>46.784885820729031</v>
      </c>
      <c r="X28" s="978"/>
      <c r="Y28" s="1120">
        <f t="shared" si="7"/>
        <v>35619.059663254091</v>
      </c>
      <c r="Z28" s="1354"/>
      <c r="AA28" s="1001">
        <v>0.11673597604822278</v>
      </c>
      <c r="AB28" s="978"/>
      <c r="AC28" s="1036">
        <f t="shared" si="8"/>
        <v>0.11673597604822278</v>
      </c>
      <c r="AD28" s="783">
        <f t="shared" si="9"/>
        <v>0.11700000000000001</v>
      </c>
      <c r="AE28" s="1321"/>
      <c r="AF28" s="1322"/>
      <c r="AG28" s="740"/>
    </row>
    <row r="29" spans="1:33">
      <c r="A29" s="96">
        <v>300057</v>
      </c>
      <c r="B29" s="1286" t="s">
        <v>201</v>
      </c>
      <c r="C29" s="782">
        <f>'TAR_Tab 2_Volumina'!N32</f>
        <v>0</v>
      </c>
      <c r="D29" s="976"/>
      <c r="E29" s="1318">
        <v>0</v>
      </c>
      <c r="F29" s="1116">
        <f t="shared" si="0"/>
        <v>0</v>
      </c>
      <c r="G29" s="1116">
        <f t="shared" si="1"/>
        <v>0</v>
      </c>
      <c r="H29" s="976"/>
      <c r="I29" s="1117">
        <f t="shared" si="10"/>
        <v>0</v>
      </c>
      <c r="J29" s="1117">
        <f t="shared" si="10"/>
        <v>0</v>
      </c>
      <c r="K29" s="1320"/>
      <c r="L29" s="1000" t="str">
        <f t="shared" si="4"/>
        <v/>
      </c>
      <c r="M29" s="1118">
        <f t="shared" si="5"/>
        <v>0</v>
      </c>
      <c r="N29" s="976"/>
      <c r="O29" s="1119">
        <f t="shared" si="6"/>
        <v>0</v>
      </c>
      <c r="P29" s="1119">
        <f t="shared" si="6"/>
        <v>0</v>
      </c>
      <c r="Q29" s="1119">
        <f t="shared" si="6"/>
        <v>0</v>
      </c>
      <c r="R29" s="1119">
        <f t="shared" si="6"/>
        <v>0</v>
      </c>
      <c r="S29" s="1119">
        <f t="shared" si="6"/>
        <v>0</v>
      </c>
      <c r="T29" s="1119">
        <f t="shared" si="6"/>
        <v>0</v>
      </c>
      <c r="U29" s="1119">
        <f t="shared" si="6"/>
        <v>0</v>
      </c>
      <c r="V29" s="1119">
        <f t="shared" si="6"/>
        <v>0</v>
      </c>
      <c r="W29" s="1119">
        <f t="shared" si="6"/>
        <v>0</v>
      </c>
      <c r="X29" s="978"/>
      <c r="Y29" s="1120">
        <f t="shared" si="7"/>
        <v>0</v>
      </c>
      <c r="Z29" s="1354"/>
      <c r="AA29" s="1001">
        <v>0</v>
      </c>
      <c r="AB29" s="978"/>
      <c r="AC29" s="1036">
        <f t="shared" si="8"/>
        <v>0</v>
      </c>
      <c r="AD29" s="783">
        <f t="shared" si="9"/>
        <v>0</v>
      </c>
      <c r="AE29" s="1321"/>
      <c r="AF29" s="1322"/>
      <c r="AG29" s="740"/>
    </row>
    <row r="30" spans="1:33">
      <c r="A30" s="96">
        <v>300059</v>
      </c>
      <c r="B30" s="1286" t="s">
        <v>744</v>
      </c>
      <c r="C30" s="782">
        <f>'TAR_Tab 2_Volumina'!N33</f>
        <v>1</v>
      </c>
      <c r="D30" s="976"/>
      <c r="E30" s="1318">
        <v>17861.01390568259</v>
      </c>
      <c r="F30" s="1116">
        <f t="shared" si="0"/>
        <v>16996.540832647552</v>
      </c>
      <c r="G30" s="1116">
        <f t="shared" si="1"/>
        <v>17393.767082242914</v>
      </c>
      <c r="H30" s="976"/>
      <c r="I30" s="1117">
        <f t="shared" si="10"/>
        <v>16524.078728130768</v>
      </c>
      <c r="J30" s="1117">
        <f t="shared" si="10"/>
        <v>18263.45543635506</v>
      </c>
      <c r="K30" s="1320"/>
      <c r="L30" s="1000" t="str">
        <f t="shared" si="4"/>
        <v/>
      </c>
      <c r="M30" s="1118">
        <f t="shared" si="5"/>
        <v>17393.767082242914</v>
      </c>
      <c r="N30" s="976"/>
      <c r="O30" s="1119">
        <f t="shared" si="6"/>
        <v>-806.68567480189563</v>
      </c>
      <c r="P30" s="1119">
        <f t="shared" si="6"/>
        <v>834.70472044811856</v>
      </c>
      <c r="Q30" s="1119">
        <f t="shared" si="6"/>
        <v>0</v>
      </c>
      <c r="R30" s="1119">
        <f t="shared" si="6"/>
        <v>31.44541525601797</v>
      </c>
      <c r="S30" s="1119">
        <f t="shared" si="6"/>
        <v>728.26984823413966</v>
      </c>
      <c r="T30" s="1119">
        <f t="shared" si="6"/>
        <v>-95.309108646485171</v>
      </c>
      <c r="U30" s="1119">
        <f t="shared" si="6"/>
        <v>-3.5856362779786122</v>
      </c>
      <c r="V30" s="1119">
        <f t="shared" si="6"/>
        <v>-296.46925773814843</v>
      </c>
      <c r="W30" s="1119">
        <f t="shared" si="6"/>
        <v>23.392442910364515</v>
      </c>
      <c r="X30" s="978"/>
      <c r="Y30" s="1120">
        <f t="shared" si="7"/>
        <v>17809.529831627045</v>
      </c>
      <c r="Z30" s="1354"/>
      <c r="AA30" s="1001">
        <v>0.12844624142453875</v>
      </c>
      <c r="AB30" s="978"/>
      <c r="AC30" s="1036">
        <f t="shared" si="8"/>
        <v>0.12844624142453875</v>
      </c>
      <c r="AD30" s="783">
        <f t="shared" si="9"/>
        <v>0.128</v>
      </c>
      <c r="AE30" s="1321"/>
      <c r="AF30" s="1322"/>
      <c r="AG30" s="740"/>
    </row>
    <row r="31" spans="1:33">
      <c r="A31" s="96">
        <v>300060</v>
      </c>
      <c r="B31" s="1286" t="s">
        <v>54</v>
      </c>
      <c r="C31" s="782">
        <f>'TAR_Tab 2_Volumina'!N34</f>
        <v>0</v>
      </c>
      <c r="D31" s="976"/>
      <c r="E31" s="1318">
        <v>0</v>
      </c>
      <c r="F31" s="1116">
        <f t="shared" si="0"/>
        <v>0</v>
      </c>
      <c r="G31" s="1116">
        <f t="shared" si="1"/>
        <v>0</v>
      </c>
      <c r="H31" s="976"/>
      <c r="I31" s="1117">
        <f t="shared" si="10"/>
        <v>0</v>
      </c>
      <c r="J31" s="1117">
        <f t="shared" si="10"/>
        <v>0</v>
      </c>
      <c r="K31" s="1320"/>
      <c r="L31" s="1000" t="str">
        <f t="shared" si="4"/>
        <v/>
      </c>
      <c r="M31" s="1118">
        <f t="shared" si="5"/>
        <v>0</v>
      </c>
      <c r="N31" s="976"/>
      <c r="O31" s="1119">
        <f t="shared" si="6"/>
        <v>0</v>
      </c>
      <c r="P31" s="1119">
        <f t="shared" si="6"/>
        <v>0</v>
      </c>
      <c r="Q31" s="1119">
        <f t="shared" si="6"/>
        <v>0</v>
      </c>
      <c r="R31" s="1119">
        <f t="shared" si="6"/>
        <v>0</v>
      </c>
      <c r="S31" s="1119">
        <f t="shared" si="6"/>
        <v>0</v>
      </c>
      <c r="T31" s="1119">
        <f t="shared" si="6"/>
        <v>0</v>
      </c>
      <c r="U31" s="1119">
        <f t="shared" si="6"/>
        <v>0</v>
      </c>
      <c r="V31" s="1119">
        <f t="shared" si="6"/>
        <v>0</v>
      </c>
      <c r="W31" s="1119">
        <f t="shared" si="6"/>
        <v>0</v>
      </c>
      <c r="X31" s="978"/>
      <c r="Y31" s="1120">
        <f t="shared" si="7"/>
        <v>0</v>
      </c>
      <c r="Z31" s="1354"/>
      <c r="AA31" s="1001">
        <v>0</v>
      </c>
      <c r="AB31" s="978"/>
      <c r="AC31" s="1036">
        <f t="shared" si="8"/>
        <v>0</v>
      </c>
      <c r="AD31" s="783">
        <f t="shared" si="9"/>
        <v>0</v>
      </c>
      <c r="AE31" s="1321"/>
      <c r="AF31" s="1322"/>
      <c r="AG31" s="740"/>
    </row>
    <row r="32" spans="1:33">
      <c r="A32" s="96">
        <v>300064</v>
      </c>
      <c r="B32" s="1286" t="s">
        <v>745</v>
      </c>
      <c r="C32" s="782">
        <f>'TAR_Tab 2_Volumina'!N35</f>
        <v>1</v>
      </c>
      <c r="D32" s="976"/>
      <c r="E32" s="1318">
        <v>17861.01390568259</v>
      </c>
      <c r="F32" s="1116">
        <f t="shared" si="0"/>
        <v>16996.540832647552</v>
      </c>
      <c r="G32" s="1116">
        <f t="shared" si="1"/>
        <v>17393.767082242914</v>
      </c>
      <c r="H32" s="976"/>
      <c r="I32" s="1117">
        <f t="shared" si="10"/>
        <v>16524.078728130768</v>
      </c>
      <c r="J32" s="1117">
        <f t="shared" si="10"/>
        <v>18263.45543635506</v>
      </c>
      <c r="K32" s="1320"/>
      <c r="L32" s="1000" t="str">
        <f t="shared" si="4"/>
        <v/>
      </c>
      <c r="M32" s="1118">
        <f t="shared" si="5"/>
        <v>17393.767082242914</v>
      </c>
      <c r="N32" s="976"/>
      <c r="O32" s="1119">
        <f t="shared" si="6"/>
        <v>-806.68567480189563</v>
      </c>
      <c r="P32" s="1119">
        <f t="shared" si="6"/>
        <v>834.70472044811856</v>
      </c>
      <c r="Q32" s="1119">
        <f t="shared" si="6"/>
        <v>0</v>
      </c>
      <c r="R32" s="1119">
        <f t="shared" si="6"/>
        <v>31.44541525601797</v>
      </c>
      <c r="S32" s="1119">
        <f t="shared" si="6"/>
        <v>728.26984823413966</v>
      </c>
      <c r="T32" s="1119">
        <f t="shared" si="6"/>
        <v>-95.309108646485171</v>
      </c>
      <c r="U32" s="1119">
        <f t="shared" si="6"/>
        <v>-3.5856362779786122</v>
      </c>
      <c r="V32" s="1119">
        <f t="shared" si="6"/>
        <v>-296.46925773814843</v>
      </c>
      <c r="W32" s="1119">
        <f t="shared" si="6"/>
        <v>23.392442910364515</v>
      </c>
      <c r="X32" s="978"/>
      <c r="Y32" s="1120">
        <f t="shared" si="7"/>
        <v>17809.529831627045</v>
      </c>
      <c r="Z32" s="1354"/>
      <c r="AA32" s="1001">
        <v>0.33470489774789597</v>
      </c>
      <c r="AB32" s="978"/>
      <c r="AC32" s="1036">
        <f t="shared" si="8"/>
        <v>0.33470489774789597</v>
      </c>
      <c r="AD32" s="783">
        <f t="shared" si="9"/>
        <v>0.33500000000000002</v>
      </c>
      <c r="AE32" s="1321"/>
      <c r="AF32" s="1322"/>
      <c r="AG32" s="740"/>
    </row>
    <row r="33" spans="1:33">
      <c r="A33" s="96">
        <v>300066</v>
      </c>
      <c r="B33" s="1286" t="s">
        <v>746</v>
      </c>
      <c r="C33" s="782">
        <f>'TAR_Tab 2_Volumina'!N36</f>
        <v>1</v>
      </c>
      <c r="D33" s="976"/>
      <c r="E33" s="1318">
        <v>17861.01390568259</v>
      </c>
      <c r="F33" s="1116">
        <f t="shared" si="0"/>
        <v>16996.540832647552</v>
      </c>
      <c r="G33" s="1116">
        <f t="shared" si="1"/>
        <v>17393.767082242914</v>
      </c>
      <c r="H33" s="976"/>
      <c r="I33" s="1117">
        <f t="shared" si="10"/>
        <v>16524.078728130768</v>
      </c>
      <c r="J33" s="1117">
        <f t="shared" si="10"/>
        <v>18263.45543635506</v>
      </c>
      <c r="K33" s="1320"/>
      <c r="L33" s="1000" t="str">
        <f t="shared" si="4"/>
        <v/>
      </c>
      <c r="M33" s="1118">
        <f t="shared" si="5"/>
        <v>17393.767082242914</v>
      </c>
      <c r="N33" s="976"/>
      <c r="O33" s="1119">
        <f t="shared" si="6"/>
        <v>-806.68567480189563</v>
      </c>
      <c r="P33" s="1119">
        <f t="shared" si="6"/>
        <v>834.70472044811856</v>
      </c>
      <c r="Q33" s="1119">
        <f t="shared" si="6"/>
        <v>0</v>
      </c>
      <c r="R33" s="1119">
        <f t="shared" si="6"/>
        <v>31.44541525601797</v>
      </c>
      <c r="S33" s="1119">
        <f t="shared" si="6"/>
        <v>728.26984823413966</v>
      </c>
      <c r="T33" s="1119">
        <f t="shared" si="6"/>
        <v>-95.309108646485171</v>
      </c>
      <c r="U33" s="1119">
        <f t="shared" si="6"/>
        <v>-3.5856362779786122</v>
      </c>
      <c r="V33" s="1119">
        <f t="shared" si="6"/>
        <v>-296.46925773814843</v>
      </c>
      <c r="W33" s="1119">
        <f t="shared" si="6"/>
        <v>23.392442910364515</v>
      </c>
      <c r="X33" s="978"/>
      <c r="Y33" s="1120">
        <f t="shared" si="7"/>
        <v>17809.529831627045</v>
      </c>
      <c r="Z33" s="1354"/>
      <c r="AA33" s="1001">
        <v>0.43539746944567126</v>
      </c>
      <c r="AB33" s="978"/>
      <c r="AC33" s="1036">
        <f t="shared" si="8"/>
        <v>0.43539746944567126</v>
      </c>
      <c r="AD33" s="783">
        <f t="shared" si="9"/>
        <v>0.435</v>
      </c>
      <c r="AE33" s="1321"/>
      <c r="AF33" s="1322"/>
      <c r="AG33" s="740"/>
    </row>
    <row r="34" spans="1:33">
      <c r="A34" s="96">
        <v>300070</v>
      </c>
      <c r="B34" s="1286" t="s">
        <v>55</v>
      </c>
      <c r="C34" s="782">
        <f>'TAR_Tab 2_Volumina'!N37</f>
        <v>0</v>
      </c>
      <c r="D34" s="976"/>
      <c r="E34" s="1318">
        <v>0</v>
      </c>
      <c r="F34" s="1116">
        <f t="shared" si="0"/>
        <v>0</v>
      </c>
      <c r="G34" s="1116">
        <f t="shared" si="1"/>
        <v>0</v>
      </c>
      <c r="H34" s="976"/>
      <c r="I34" s="1117">
        <f t="shared" si="10"/>
        <v>0</v>
      </c>
      <c r="J34" s="1117">
        <f t="shared" si="10"/>
        <v>0</v>
      </c>
      <c r="K34" s="1320"/>
      <c r="L34" s="1000" t="str">
        <f t="shared" si="4"/>
        <v/>
      </c>
      <c r="M34" s="1118">
        <f t="shared" si="5"/>
        <v>0</v>
      </c>
      <c r="N34" s="976"/>
      <c r="O34" s="1119">
        <f t="shared" si="6"/>
        <v>0</v>
      </c>
      <c r="P34" s="1119">
        <f t="shared" si="6"/>
        <v>0</v>
      </c>
      <c r="Q34" s="1119">
        <f t="shared" si="6"/>
        <v>0</v>
      </c>
      <c r="R34" s="1119">
        <f t="shared" si="6"/>
        <v>0</v>
      </c>
      <c r="S34" s="1119">
        <f t="shared" si="6"/>
        <v>0</v>
      </c>
      <c r="T34" s="1119">
        <f t="shared" si="6"/>
        <v>0</v>
      </c>
      <c r="U34" s="1119">
        <f t="shared" si="6"/>
        <v>0</v>
      </c>
      <c r="V34" s="1119">
        <f t="shared" si="6"/>
        <v>0</v>
      </c>
      <c r="W34" s="1119">
        <f t="shared" si="6"/>
        <v>0</v>
      </c>
      <c r="X34" s="978"/>
      <c r="Y34" s="1120">
        <f t="shared" si="7"/>
        <v>0</v>
      </c>
      <c r="Z34" s="1354"/>
      <c r="AA34" s="1001">
        <v>0</v>
      </c>
      <c r="AB34" s="978"/>
      <c r="AC34" s="1036">
        <f t="shared" si="8"/>
        <v>0</v>
      </c>
      <c r="AD34" s="783">
        <f t="shared" si="9"/>
        <v>0</v>
      </c>
      <c r="AE34" s="1321"/>
      <c r="AF34" s="1322"/>
      <c r="AG34" s="740"/>
    </row>
    <row r="35" spans="1:33">
      <c r="A35" s="96">
        <v>300071</v>
      </c>
      <c r="B35" s="1286" t="s">
        <v>56</v>
      </c>
      <c r="C35" s="782">
        <f>'TAR_Tab 2_Volumina'!N38</f>
        <v>0</v>
      </c>
      <c r="D35" s="976"/>
      <c r="E35" s="1318">
        <v>0</v>
      </c>
      <c r="F35" s="1116">
        <f t="shared" si="0"/>
        <v>0</v>
      </c>
      <c r="G35" s="1116">
        <f t="shared" si="1"/>
        <v>0</v>
      </c>
      <c r="H35" s="976"/>
      <c r="I35" s="1117">
        <f t="shared" si="10"/>
        <v>0</v>
      </c>
      <c r="J35" s="1117">
        <f t="shared" si="10"/>
        <v>0</v>
      </c>
      <c r="K35" s="1320"/>
      <c r="L35" s="1000" t="str">
        <f t="shared" si="4"/>
        <v/>
      </c>
      <c r="M35" s="1118">
        <f t="shared" si="5"/>
        <v>0</v>
      </c>
      <c r="N35" s="976"/>
      <c r="O35" s="1119">
        <f t="shared" si="6"/>
        <v>0</v>
      </c>
      <c r="P35" s="1119">
        <f t="shared" si="6"/>
        <v>0</v>
      </c>
      <c r="Q35" s="1119">
        <f t="shared" si="6"/>
        <v>0</v>
      </c>
      <c r="R35" s="1119">
        <f t="shared" si="6"/>
        <v>0</v>
      </c>
      <c r="S35" s="1119">
        <f t="shared" si="6"/>
        <v>0</v>
      </c>
      <c r="T35" s="1119">
        <f t="shared" si="6"/>
        <v>0</v>
      </c>
      <c r="U35" s="1119">
        <f t="shared" si="6"/>
        <v>0</v>
      </c>
      <c r="V35" s="1119">
        <f t="shared" si="6"/>
        <v>0</v>
      </c>
      <c r="W35" s="1119">
        <f t="shared" si="6"/>
        <v>0</v>
      </c>
      <c r="X35" s="978"/>
      <c r="Y35" s="1120">
        <f t="shared" si="7"/>
        <v>0</v>
      </c>
      <c r="Z35" s="1354"/>
      <c r="AA35" s="1001">
        <v>0</v>
      </c>
      <c r="AB35" s="978"/>
      <c r="AC35" s="1036">
        <f t="shared" si="8"/>
        <v>0</v>
      </c>
      <c r="AD35" s="783">
        <f t="shared" si="9"/>
        <v>0</v>
      </c>
      <c r="AE35" s="1321"/>
      <c r="AF35" s="1322"/>
      <c r="AG35" s="740"/>
    </row>
    <row r="36" spans="1:33">
      <c r="A36" s="96">
        <v>300072</v>
      </c>
      <c r="B36" s="1286" t="s">
        <v>24</v>
      </c>
      <c r="C36" s="782">
        <f>'TAR_Tab 2_Volumina'!N39</f>
        <v>0</v>
      </c>
      <c r="D36" s="976"/>
      <c r="E36" s="1318">
        <v>0</v>
      </c>
      <c r="F36" s="1116">
        <f t="shared" si="0"/>
        <v>0</v>
      </c>
      <c r="G36" s="1116">
        <f t="shared" si="1"/>
        <v>0</v>
      </c>
      <c r="H36" s="976"/>
      <c r="I36" s="1117">
        <f t="shared" si="10"/>
        <v>0</v>
      </c>
      <c r="J36" s="1117">
        <f t="shared" si="10"/>
        <v>0</v>
      </c>
      <c r="K36" s="1320"/>
      <c r="L36" s="1000" t="str">
        <f t="shared" si="4"/>
        <v/>
      </c>
      <c r="M36" s="1118">
        <f t="shared" si="5"/>
        <v>0</v>
      </c>
      <c r="N36" s="976"/>
      <c r="O36" s="1119">
        <f t="shared" si="6"/>
        <v>0</v>
      </c>
      <c r="P36" s="1119">
        <f t="shared" si="6"/>
        <v>0</v>
      </c>
      <c r="Q36" s="1119">
        <f t="shared" si="6"/>
        <v>0</v>
      </c>
      <c r="R36" s="1119">
        <f t="shared" si="6"/>
        <v>0</v>
      </c>
      <c r="S36" s="1119">
        <f t="shared" si="6"/>
        <v>0</v>
      </c>
      <c r="T36" s="1119">
        <f t="shared" si="6"/>
        <v>0</v>
      </c>
      <c r="U36" s="1119">
        <f t="shared" si="6"/>
        <v>0</v>
      </c>
      <c r="V36" s="1119">
        <f t="shared" si="6"/>
        <v>0</v>
      </c>
      <c r="W36" s="1119">
        <f t="shared" si="6"/>
        <v>0</v>
      </c>
      <c r="X36" s="978"/>
      <c r="Y36" s="1120">
        <f t="shared" si="7"/>
        <v>0</v>
      </c>
      <c r="Z36" s="1354"/>
      <c r="AA36" s="1001">
        <v>0</v>
      </c>
      <c r="AB36" s="978"/>
      <c r="AC36" s="1036">
        <f t="shared" si="8"/>
        <v>0</v>
      </c>
      <c r="AD36" s="783">
        <f t="shared" si="9"/>
        <v>0</v>
      </c>
      <c r="AE36" s="1321"/>
      <c r="AF36" s="1322"/>
      <c r="AG36" s="740"/>
    </row>
    <row r="37" spans="1:33">
      <c r="A37" s="96">
        <v>300073</v>
      </c>
      <c r="B37" s="1286" t="s">
        <v>57</v>
      </c>
      <c r="C37" s="782">
        <f>'TAR_Tab 2_Volumina'!N40</f>
        <v>0</v>
      </c>
      <c r="D37" s="976"/>
      <c r="E37" s="1318">
        <v>0</v>
      </c>
      <c r="F37" s="1116">
        <f t="shared" si="0"/>
        <v>0</v>
      </c>
      <c r="G37" s="1116">
        <f t="shared" si="1"/>
        <v>0</v>
      </c>
      <c r="H37" s="976"/>
      <c r="I37" s="1117">
        <f t="shared" si="10"/>
        <v>0</v>
      </c>
      <c r="J37" s="1117">
        <f t="shared" si="10"/>
        <v>0</v>
      </c>
      <c r="K37" s="1320"/>
      <c r="L37" s="1000" t="str">
        <f t="shared" si="4"/>
        <v/>
      </c>
      <c r="M37" s="1118">
        <f t="shared" si="5"/>
        <v>0</v>
      </c>
      <c r="N37" s="976"/>
      <c r="O37" s="1119">
        <f t="shared" si="6"/>
        <v>0</v>
      </c>
      <c r="P37" s="1119">
        <f t="shared" si="6"/>
        <v>0</v>
      </c>
      <c r="Q37" s="1119">
        <f t="shared" si="6"/>
        <v>0</v>
      </c>
      <c r="R37" s="1119">
        <f t="shared" si="6"/>
        <v>0</v>
      </c>
      <c r="S37" s="1119">
        <f t="shared" si="6"/>
        <v>0</v>
      </c>
      <c r="T37" s="1119">
        <f t="shared" si="6"/>
        <v>0</v>
      </c>
      <c r="U37" s="1119">
        <f t="shared" si="6"/>
        <v>0</v>
      </c>
      <c r="V37" s="1119">
        <f t="shared" si="6"/>
        <v>0</v>
      </c>
      <c r="W37" s="1119">
        <f t="shared" si="6"/>
        <v>0</v>
      </c>
      <c r="X37" s="978"/>
      <c r="Y37" s="1120">
        <f t="shared" si="7"/>
        <v>0</v>
      </c>
      <c r="Z37" s="1354"/>
      <c r="AA37" s="1001">
        <v>0</v>
      </c>
      <c r="AB37" s="978"/>
      <c r="AC37" s="1036">
        <f t="shared" si="8"/>
        <v>0</v>
      </c>
      <c r="AD37" s="783">
        <f t="shared" si="9"/>
        <v>0</v>
      </c>
      <c r="AE37" s="1321"/>
      <c r="AF37" s="1322"/>
      <c r="AG37" s="740"/>
    </row>
    <row r="38" spans="1:33">
      <c r="A38" s="96">
        <v>300074</v>
      </c>
      <c r="B38" s="1286" t="s">
        <v>58</v>
      </c>
      <c r="C38" s="782">
        <f>'TAR_Tab 2_Volumina'!N41</f>
        <v>0</v>
      </c>
      <c r="D38" s="976"/>
      <c r="E38" s="1318">
        <v>0</v>
      </c>
      <c r="F38" s="1116">
        <f t="shared" si="0"/>
        <v>0</v>
      </c>
      <c r="G38" s="1116">
        <f t="shared" si="1"/>
        <v>0</v>
      </c>
      <c r="H38" s="976"/>
      <c r="I38" s="1117">
        <f t="shared" si="10"/>
        <v>0</v>
      </c>
      <c r="J38" s="1117">
        <f t="shared" si="10"/>
        <v>0</v>
      </c>
      <c r="K38" s="1320"/>
      <c r="L38" s="1000" t="str">
        <f t="shared" si="4"/>
        <v/>
      </c>
      <c r="M38" s="1118">
        <f t="shared" si="5"/>
        <v>0</v>
      </c>
      <c r="N38" s="976"/>
      <c r="O38" s="1119">
        <f t="shared" si="6"/>
        <v>0</v>
      </c>
      <c r="P38" s="1119">
        <f t="shared" si="6"/>
        <v>0</v>
      </c>
      <c r="Q38" s="1119">
        <f t="shared" si="6"/>
        <v>0</v>
      </c>
      <c r="R38" s="1119">
        <f t="shared" si="6"/>
        <v>0</v>
      </c>
      <c r="S38" s="1119">
        <f t="shared" si="6"/>
        <v>0</v>
      </c>
      <c r="T38" s="1119">
        <f t="shared" si="6"/>
        <v>0</v>
      </c>
      <c r="U38" s="1119">
        <f t="shared" si="6"/>
        <v>0</v>
      </c>
      <c r="V38" s="1119">
        <f t="shared" si="6"/>
        <v>0</v>
      </c>
      <c r="W38" s="1119">
        <f t="shared" si="6"/>
        <v>0</v>
      </c>
      <c r="X38" s="978"/>
      <c r="Y38" s="1120">
        <f t="shared" si="7"/>
        <v>0</v>
      </c>
      <c r="Z38" s="1354"/>
      <c r="AA38" s="1001">
        <v>0</v>
      </c>
      <c r="AB38" s="978"/>
      <c r="AC38" s="1036">
        <f t="shared" si="8"/>
        <v>0</v>
      </c>
      <c r="AD38" s="783">
        <f t="shared" si="9"/>
        <v>0</v>
      </c>
      <c r="AE38" s="1321"/>
      <c r="AF38" s="1322"/>
      <c r="AG38" s="740"/>
    </row>
    <row r="39" spans="1:33">
      <c r="A39" s="96">
        <v>300075</v>
      </c>
      <c r="B39" s="1286" t="s">
        <v>1197</v>
      </c>
      <c r="C39" s="782">
        <f>'TAR_Tab 2_Volumina'!N42</f>
        <v>0</v>
      </c>
      <c r="D39" s="976"/>
      <c r="E39" s="1318">
        <v>0</v>
      </c>
      <c r="F39" s="1116">
        <f t="shared" si="0"/>
        <v>0</v>
      </c>
      <c r="G39" s="1116">
        <f t="shared" si="1"/>
        <v>0</v>
      </c>
      <c r="H39" s="976"/>
      <c r="I39" s="1117">
        <f t="shared" si="10"/>
        <v>0</v>
      </c>
      <c r="J39" s="1117">
        <f t="shared" si="10"/>
        <v>0</v>
      </c>
      <c r="K39" s="1320"/>
      <c r="L39" s="1000" t="str">
        <f t="shared" si="4"/>
        <v/>
      </c>
      <c r="M39" s="1118">
        <f t="shared" si="5"/>
        <v>0</v>
      </c>
      <c r="N39" s="976"/>
      <c r="O39" s="1119">
        <f t="shared" si="6"/>
        <v>0</v>
      </c>
      <c r="P39" s="1119">
        <f t="shared" si="6"/>
        <v>0</v>
      </c>
      <c r="Q39" s="1119">
        <f t="shared" si="6"/>
        <v>0</v>
      </c>
      <c r="R39" s="1119">
        <f t="shared" si="6"/>
        <v>0</v>
      </c>
      <c r="S39" s="1119">
        <f t="shared" si="6"/>
        <v>0</v>
      </c>
      <c r="T39" s="1119">
        <f t="shared" si="6"/>
        <v>0</v>
      </c>
      <c r="U39" s="1119">
        <f t="shared" si="6"/>
        <v>0</v>
      </c>
      <c r="V39" s="1119">
        <f t="shared" si="6"/>
        <v>0</v>
      </c>
      <c r="W39" s="1119">
        <f t="shared" si="6"/>
        <v>0</v>
      </c>
      <c r="X39" s="978"/>
      <c r="Y39" s="1120">
        <f t="shared" si="7"/>
        <v>0</v>
      </c>
      <c r="Z39" s="1354"/>
      <c r="AA39" s="1001">
        <v>0</v>
      </c>
      <c r="AB39" s="978"/>
      <c r="AC39" s="1036">
        <f t="shared" si="8"/>
        <v>0</v>
      </c>
      <c r="AD39" s="783">
        <f t="shared" si="9"/>
        <v>0</v>
      </c>
      <c r="AE39" s="1321"/>
      <c r="AF39" s="1322"/>
      <c r="AG39" s="740"/>
    </row>
    <row r="40" spans="1:33">
      <c r="A40" s="96">
        <v>300076</v>
      </c>
      <c r="B40" s="1286" t="s">
        <v>25</v>
      </c>
      <c r="C40" s="782">
        <f>'TAR_Tab 2_Volumina'!N43</f>
        <v>0</v>
      </c>
      <c r="D40" s="976"/>
      <c r="E40" s="1318">
        <v>0</v>
      </c>
      <c r="F40" s="1116">
        <f t="shared" si="0"/>
        <v>0</v>
      </c>
      <c r="G40" s="1116">
        <f t="shared" si="1"/>
        <v>0</v>
      </c>
      <c r="H40" s="976"/>
      <c r="I40" s="1117">
        <f t="shared" si="10"/>
        <v>0</v>
      </c>
      <c r="J40" s="1117">
        <f t="shared" si="10"/>
        <v>0</v>
      </c>
      <c r="K40" s="1320"/>
      <c r="L40" s="1000" t="str">
        <f t="shared" si="4"/>
        <v/>
      </c>
      <c r="M40" s="1118">
        <f t="shared" si="5"/>
        <v>0</v>
      </c>
      <c r="N40" s="976"/>
      <c r="O40" s="1119">
        <f t="shared" si="6"/>
        <v>0</v>
      </c>
      <c r="P40" s="1119">
        <f t="shared" si="6"/>
        <v>0</v>
      </c>
      <c r="Q40" s="1119">
        <f t="shared" si="6"/>
        <v>0</v>
      </c>
      <c r="R40" s="1119">
        <f t="shared" si="6"/>
        <v>0</v>
      </c>
      <c r="S40" s="1119">
        <f t="shared" si="6"/>
        <v>0</v>
      </c>
      <c r="T40" s="1119">
        <f t="shared" si="6"/>
        <v>0</v>
      </c>
      <c r="U40" s="1119">
        <f t="shared" si="6"/>
        <v>0</v>
      </c>
      <c r="V40" s="1119">
        <f t="shared" si="6"/>
        <v>0</v>
      </c>
      <c r="W40" s="1119">
        <f t="shared" si="6"/>
        <v>0</v>
      </c>
      <c r="X40" s="978"/>
      <c r="Y40" s="1120">
        <f t="shared" si="7"/>
        <v>0</v>
      </c>
      <c r="Z40" s="1354"/>
      <c r="AA40" s="1001">
        <v>0</v>
      </c>
      <c r="AB40" s="978"/>
      <c r="AC40" s="1036">
        <f t="shared" si="8"/>
        <v>0</v>
      </c>
      <c r="AD40" s="783">
        <f t="shared" si="9"/>
        <v>0</v>
      </c>
      <c r="AE40" s="1321"/>
      <c r="AF40" s="1322"/>
      <c r="AG40" s="740"/>
    </row>
    <row r="41" spans="1:33">
      <c r="A41" s="96">
        <v>300078</v>
      </c>
      <c r="B41" s="1286" t="s">
        <v>59</v>
      </c>
      <c r="C41" s="782">
        <f>'TAR_Tab 2_Volumina'!N44</f>
        <v>0</v>
      </c>
      <c r="D41" s="976"/>
      <c r="E41" s="1318">
        <v>0</v>
      </c>
      <c r="F41" s="1116">
        <f t="shared" si="0"/>
        <v>0</v>
      </c>
      <c r="G41" s="1116">
        <f t="shared" si="1"/>
        <v>0</v>
      </c>
      <c r="H41" s="976"/>
      <c r="I41" s="1117">
        <f t="shared" si="10"/>
        <v>0</v>
      </c>
      <c r="J41" s="1117">
        <f t="shared" si="10"/>
        <v>0</v>
      </c>
      <c r="K41" s="1320"/>
      <c r="L41" s="1000" t="str">
        <f t="shared" si="4"/>
        <v/>
      </c>
      <c r="M41" s="1118">
        <f t="shared" si="5"/>
        <v>0</v>
      </c>
      <c r="N41" s="976"/>
      <c r="O41" s="1119">
        <f t="shared" si="6"/>
        <v>0</v>
      </c>
      <c r="P41" s="1119">
        <f t="shared" si="6"/>
        <v>0</v>
      </c>
      <c r="Q41" s="1119">
        <f t="shared" si="6"/>
        <v>0</v>
      </c>
      <c r="R41" s="1119">
        <f t="shared" si="6"/>
        <v>0</v>
      </c>
      <c r="S41" s="1119">
        <f t="shared" si="6"/>
        <v>0</v>
      </c>
      <c r="T41" s="1119">
        <f t="shared" si="6"/>
        <v>0</v>
      </c>
      <c r="U41" s="1119">
        <f t="shared" si="6"/>
        <v>0</v>
      </c>
      <c r="V41" s="1119">
        <f t="shared" si="6"/>
        <v>0</v>
      </c>
      <c r="W41" s="1119">
        <f t="shared" si="6"/>
        <v>0</v>
      </c>
      <c r="X41" s="978"/>
      <c r="Y41" s="1120">
        <f t="shared" si="7"/>
        <v>0</v>
      </c>
      <c r="Z41" s="1354"/>
      <c r="AA41" s="1001">
        <v>0</v>
      </c>
      <c r="AB41" s="978"/>
      <c r="AC41" s="1036">
        <f t="shared" si="8"/>
        <v>0</v>
      </c>
      <c r="AD41" s="783">
        <f t="shared" si="9"/>
        <v>0</v>
      </c>
      <c r="AE41" s="1321"/>
      <c r="AF41" s="1322"/>
      <c r="AG41" s="740"/>
    </row>
    <row r="42" spans="1:33">
      <c r="A42" s="96">
        <v>300081</v>
      </c>
      <c r="B42" s="1286" t="s">
        <v>26</v>
      </c>
      <c r="C42" s="782">
        <f>'TAR_Tab 2_Volumina'!N45</f>
        <v>0</v>
      </c>
      <c r="D42" s="976"/>
      <c r="E42" s="1318">
        <v>0</v>
      </c>
      <c r="F42" s="1116">
        <f t="shared" si="0"/>
        <v>0</v>
      </c>
      <c r="G42" s="1116">
        <f t="shared" si="1"/>
        <v>0</v>
      </c>
      <c r="H42" s="976"/>
      <c r="I42" s="1117">
        <f t="shared" si="10"/>
        <v>0</v>
      </c>
      <c r="J42" s="1117">
        <f t="shared" si="10"/>
        <v>0</v>
      </c>
      <c r="K42" s="1320"/>
      <c r="L42" s="1000" t="str">
        <f t="shared" si="4"/>
        <v/>
      </c>
      <c r="M42" s="1118">
        <f t="shared" si="5"/>
        <v>0</v>
      </c>
      <c r="N42" s="976"/>
      <c r="O42" s="1119">
        <f t="shared" si="6"/>
        <v>0</v>
      </c>
      <c r="P42" s="1119">
        <f t="shared" si="6"/>
        <v>0</v>
      </c>
      <c r="Q42" s="1119">
        <f t="shared" si="6"/>
        <v>0</v>
      </c>
      <c r="R42" s="1119">
        <f t="shared" si="6"/>
        <v>0</v>
      </c>
      <c r="S42" s="1119">
        <f t="shared" si="6"/>
        <v>0</v>
      </c>
      <c r="T42" s="1119">
        <f t="shared" si="6"/>
        <v>0</v>
      </c>
      <c r="U42" s="1119">
        <f t="shared" si="6"/>
        <v>0</v>
      </c>
      <c r="V42" s="1119">
        <f t="shared" si="6"/>
        <v>0</v>
      </c>
      <c r="W42" s="1119">
        <f t="shared" si="6"/>
        <v>0</v>
      </c>
      <c r="X42" s="978"/>
      <c r="Y42" s="1120">
        <f t="shared" si="7"/>
        <v>0</v>
      </c>
      <c r="Z42" s="1354"/>
      <c r="AA42" s="1001">
        <v>0</v>
      </c>
      <c r="AB42" s="978"/>
      <c r="AC42" s="1036">
        <f t="shared" si="8"/>
        <v>0</v>
      </c>
      <c r="AD42" s="783">
        <f t="shared" si="9"/>
        <v>0</v>
      </c>
      <c r="AE42" s="1321"/>
      <c r="AF42" s="1322"/>
      <c r="AG42" s="740"/>
    </row>
    <row r="43" spans="1:33">
      <c r="A43" s="96">
        <v>300082</v>
      </c>
      <c r="B43" s="1286" t="s">
        <v>747</v>
      </c>
      <c r="C43" s="782">
        <f>'TAR_Tab 2_Volumina'!N46</f>
        <v>0</v>
      </c>
      <c r="D43" s="976"/>
      <c r="E43" s="1318">
        <v>0</v>
      </c>
      <c r="F43" s="1116">
        <f t="shared" si="0"/>
        <v>0</v>
      </c>
      <c r="G43" s="1116">
        <f t="shared" si="1"/>
        <v>0</v>
      </c>
      <c r="H43" s="976"/>
      <c r="I43" s="1117">
        <f t="shared" si="10"/>
        <v>0</v>
      </c>
      <c r="J43" s="1117">
        <f t="shared" si="10"/>
        <v>0</v>
      </c>
      <c r="K43" s="1320"/>
      <c r="L43" s="1000" t="str">
        <f t="shared" si="4"/>
        <v/>
      </c>
      <c r="M43" s="1118">
        <f t="shared" si="5"/>
        <v>0</v>
      </c>
      <c r="N43" s="976"/>
      <c r="O43" s="1119">
        <f t="shared" si="6"/>
        <v>0</v>
      </c>
      <c r="P43" s="1119">
        <f t="shared" si="6"/>
        <v>0</v>
      </c>
      <c r="Q43" s="1119">
        <f t="shared" si="6"/>
        <v>0</v>
      </c>
      <c r="R43" s="1119">
        <f t="shared" si="6"/>
        <v>0</v>
      </c>
      <c r="S43" s="1119">
        <f t="shared" si="6"/>
        <v>0</v>
      </c>
      <c r="T43" s="1119">
        <f t="shared" si="6"/>
        <v>0</v>
      </c>
      <c r="U43" s="1119">
        <f t="shared" si="6"/>
        <v>0</v>
      </c>
      <c r="V43" s="1119">
        <f t="shared" si="6"/>
        <v>0</v>
      </c>
      <c r="W43" s="1119">
        <f t="shared" si="6"/>
        <v>0</v>
      </c>
      <c r="X43" s="978"/>
      <c r="Y43" s="1120">
        <f t="shared" si="7"/>
        <v>0</v>
      </c>
      <c r="Z43" s="1354"/>
      <c r="AA43" s="1001">
        <v>0</v>
      </c>
      <c r="AB43" s="978"/>
      <c r="AC43" s="1036">
        <f t="shared" si="8"/>
        <v>0</v>
      </c>
      <c r="AD43" s="783">
        <f t="shared" si="9"/>
        <v>0</v>
      </c>
      <c r="AE43" s="1321"/>
      <c r="AF43" s="1322"/>
      <c r="AG43" s="740"/>
    </row>
    <row r="44" spans="1:33">
      <c r="A44" s="96">
        <v>300083</v>
      </c>
      <c r="B44" s="1286" t="s">
        <v>60</v>
      </c>
      <c r="C44" s="782">
        <f>'TAR_Tab 2_Volumina'!N47</f>
        <v>0</v>
      </c>
      <c r="D44" s="976"/>
      <c r="E44" s="1318">
        <v>0</v>
      </c>
      <c r="F44" s="1116">
        <f t="shared" si="0"/>
        <v>0</v>
      </c>
      <c r="G44" s="1116">
        <f t="shared" si="1"/>
        <v>0</v>
      </c>
      <c r="H44" s="976"/>
      <c r="I44" s="1117">
        <f t="shared" si="10"/>
        <v>0</v>
      </c>
      <c r="J44" s="1117">
        <f t="shared" si="10"/>
        <v>0</v>
      </c>
      <c r="K44" s="1320"/>
      <c r="L44" s="1000" t="str">
        <f t="shared" si="4"/>
        <v/>
      </c>
      <c r="M44" s="1118">
        <f t="shared" si="5"/>
        <v>0</v>
      </c>
      <c r="N44" s="976"/>
      <c r="O44" s="1119">
        <f t="shared" si="6"/>
        <v>0</v>
      </c>
      <c r="P44" s="1119">
        <f t="shared" si="6"/>
        <v>0</v>
      </c>
      <c r="Q44" s="1119">
        <f t="shared" si="6"/>
        <v>0</v>
      </c>
      <c r="R44" s="1119">
        <f t="shared" si="6"/>
        <v>0</v>
      </c>
      <c r="S44" s="1119">
        <f t="shared" si="6"/>
        <v>0</v>
      </c>
      <c r="T44" s="1119">
        <f t="shared" si="6"/>
        <v>0</v>
      </c>
      <c r="U44" s="1119">
        <f t="shared" si="6"/>
        <v>0</v>
      </c>
      <c r="V44" s="1119">
        <f t="shared" si="6"/>
        <v>0</v>
      </c>
      <c r="W44" s="1119">
        <f t="shared" si="6"/>
        <v>0</v>
      </c>
      <c r="X44" s="978"/>
      <c r="Y44" s="1120">
        <f t="shared" si="7"/>
        <v>0</v>
      </c>
      <c r="Z44" s="1354"/>
      <c r="AA44" s="1001">
        <v>0</v>
      </c>
      <c r="AB44" s="978"/>
      <c r="AC44" s="1036">
        <f t="shared" si="8"/>
        <v>0</v>
      </c>
      <c r="AD44" s="783">
        <f t="shared" si="9"/>
        <v>0</v>
      </c>
      <c r="AE44" s="1321"/>
      <c r="AF44" s="1322"/>
      <c r="AG44" s="740"/>
    </row>
    <row r="45" spans="1:33">
      <c r="A45" s="96">
        <v>300085</v>
      </c>
      <c r="B45" s="1286" t="s">
        <v>27</v>
      </c>
      <c r="C45" s="782">
        <f>'TAR_Tab 2_Volumina'!N48</f>
        <v>0</v>
      </c>
      <c r="D45" s="976"/>
      <c r="E45" s="1318">
        <v>0</v>
      </c>
      <c r="F45" s="1116">
        <f t="shared" si="0"/>
        <v>0</v>
      </c>
      <c r="G45" s="1116">
        <f t="shared" si="1"/>
        <v>0</v>
      </c>
      <c r="H45" s="976"/>
      <c r="I45" s="1117">
        <f t="shared" si="10"/>
        <v>0</v>
      </c>
      <c r="J45" s="1117">
        <f t="shared" si="10"/>
        <v>0</v>
      </c>
      <c r="K45" s="1320"/>
      <c r="L45" s="1000" t="str">
        <f t="shared" si="4"/>
        <v/>
      </c>
      <c r="M45" s="1118">
        <f t="shared" si="5"/>
        <v>0</v>
      </c>
      <c r="N45" s="976"/>
      <c r="O45" s="1119">
        <f t="shared" si="6"/>
        <v>0</v>
      </c>
      <c r="P45" s="1119">
        <f t="shared" si="6"/>
        <v>0</v>
      </c>
      <c r="Q45" s="1119">
        <f t="shared" si="6"/>
        <v>0</v>
      </c>
      <c r="R45" s="1119">
        <f t="shared" si="6"/>
        <v>0</v>
      </c>
      <c r="S45" s="1119">
        <f t="shared" si="6"/>
        <v>0</v>
      </c>
      <c r="T45" s="1119">
        <f t="shared" si="6"/>
        <v>0</v>
      </c>
      <c r="U45" s="1119">
        <f t="shared" si="6"/>
        <v>0</v>
      </c>
      <c r="V45" s="1119">
        <f t="shared" si="6"/>
        <v>0</v>
      </c>
      <c r="W45" s="1119">
        <f t="shared" si="6"/>
        <v>0</v>
      </c>
      <c r="X45" s="978"/>
      <c r="Y45" s="1120">
        <f t="shared" si="7"/>
        <v>0</v>
      </c>
      <c r="Z45" s="1354"/>
      <c r="AA45" s="1001">
        <v>0</v>
      </c>
      <c r="AB45" s="978"/>
      <c r="AC45" s="1036">
        <f t="shared" si="8"/>
        <v>0</v>
      </c>
      <c r="AD45" s="783">
        <f t="shared" si="9"/>
        <v>0</v>
      </c>
      <c r="AE45" s="1321"/>
      <c r="AF45" s="1322"/>
      <c r="AG45" s="740"/>
    </row>
    <row r="46" spans="1:33">
      <c r="A46" s="96">
        <v>300088</v>
      </c>
      <c r="B46" s="1286" t="s">
        <v>748</v>
      </c>
      <c r="C46" s="782">
        <f>'TAR_Tab 2_Volumina'!N49</f>
        <v>0</v>
      </c>
      <c r="D46" s="976"/>
      <c r="E46" s="1318">
        <v>0</v>
      </c>
      <c r="F46" s="1116">
        <f t="shared" si="0"/>
        <v>0</v>
      </c>
      <c r="G46" s="1116">
        <f t="shared" si="1"/>
        <v>0</v>
      </c>
      <c r="H46" s="976"/>
      <c r="I46" s="1117">
        <f t="shared" si="10"/>
        <v>0</v>
      </c>
      <c r="J46" s="1117">
        <f t="shared" si="10"/>
        <v>0</v>
      </c>
      <c r="K46" s="1320"/>
      <c r="L46" s="1000" t="str">
        <f t="shared" si="4"/>
        <v/>
      </c>
      <c r="M46" s="1118">
        <f t="shared" si="5"/>
        <v>0</v>
      </c>
      <c r="N46" s="976"/>
      <c r="O46" s="1119">
        <f t="shared" si="6"/>
        <v>0</v>
      </c>
      <c r="P46" s="1119">
        <f t="shared" si="6"/>
        <v>0</v>
      </c>
      <c r="Q46" s="1119">
        <f t="shared" si="6"/>
        <v>0</v>
      </c>
      <c r="R46" s="1119">
        <f t="shared" si="6"/>
        <v>0</v>
      </c>
      <c r="S46" s="1119">
        <f t="shared" si="6"/>
        <v>0</v>
      </c>
      <c r="T46" s="1119">
        <f t="shared" si="6"/>
        <v>0</v>
      </c>
      <c r="U46" s="1119">
        <f t="shared" si="6"/>
        <v>0</v>
      </c>
      <c r="V46" s="1119">
        <f t="shared" si="6"/>
        <v>0</v>
      </c>
      <c r="W46" s="1119">
        <f t="shared" si="6"/>
        <v>0</v>
      </c>
      <c r="X46" s="978"/>
      <c r="Y46" s="1120">
        <f t="shared" si="7"/>
        <v>0</v>
      </c>
      <c r="Z46" s="1354"/>
      <c r="AA46" s="1001">
        <v>0</v>
      </c>
      <c r="AB46" s="978"/>
      <c r="AC46" s="1036">
        <f t="shared" si="8"/>
        <v>0</v>
      </c>
      <c r="AD46" s="783">
        <f t="shared" si="9"/>
        <v>0</v>
      </c>
      <c r="AE46" s="1321"/>
      <c r="AF46" s="1322"/>
      <c r="AG46" s="740"/>
    </row>
    <row r="47" spans="1:33">
      <c r="A47" s="96">
        <v>300089</v>
      </c>
      <c r="B47" s="1286" t="s">
        <v>61</v>
      </c>
      <c r="C47" s="782">
        <f>'TAR_Tab 2_Volumina'!N50</f>
        <v>0</v>
      </c>
      <c r="D47" s="976"/>
      <c r="E47" s="1318">
        <v>0</v>
      </c>
      <c r="F47" s="1116">
        <f t="shared" si="0"/>
        <v>0</v>
      </c>
      <c r="G47" s="1116">
        <f t="shared" si="1"/>
        <v>0</v>
      </c>
      <c r="H47" s="976"/>
      <c r="I47" s="1117">
        <f t="shared" si="10"/>
        <v>0</v>
      </c>
      <c r="J47" s="1117">
        <f t="shared" si="10"/>
        <v>0</v>
      </c>
      <c r="K47" s="1320"/>
      <c r="L47" s="1000" t="str">
        <f t="shared" si="4"/>
        <v/>
      </c>
      <c r="M47" s="1118">
        <f t="shared" si="5"/>
        <v>0</v>
      </c>
      <c r="N47" s="976"/>
      <c r="O47" s="1119">
        <f t="shared" si="6"/>
        <v>0</v>
      </c>
      <c r="P47" s="1119">
        <f t="shared" si="6"/>
        <v>0</v>
      </c>
      <c r="Q47" s="1119">
        <f t="shared" si="6"/>
        <v>0</v>
      </c>
      <c r="R47" s="1119">
        <f t="shared" si="6"/>
        <v>0</v>
      </c>
      <c r="S47" s="1119">
        <f t="shared" si="6"/>
        <v>0</v>
      </c>
      <c r="T47" s="1119">
        <f t="shared" si="6"/>
        <v>0</v>
      </c>
      <c r="U47" s="1119">
        <f t="shared" si="6"/>
        <v>0</v>
      </c>
      <c r="V47" s="1119">
        <f t="shared" si="6"/>
        <v>0</v>
      </c>
      <c r="W47" s="1119">
        <f t="shared" si="6"/>
        <v>0</v>
      </c>
      <c r="X47" s="978"/>
      <c r="Y47" s="1120">
        <f t="shared" si="7"/>
        <v>0</v>
      </c>
      <c r="Z47" s="1354"/>
      <c r="AA47" s="1001">
        <v>0</v>
      </c>
      <c r="AB47" s="978"/>
      <c r="AC47" s="1036">
        <f t="shared" si="8"/>
        <v>0</v>
      </c>
      <c r="AD47" s="783">
        <f t="shared" si="9"/>
        <v>0</v>
      </c>
      <c r="AE47" s="1321"/>
      <c r="AF47" s="1322"/>
      <c r="AG47" s="740"/>
    </row>
    <row r="48" spans="1:33">
      <c r="A48" s="96">
        <v>300090</v>
      </c>
      <c r="B48" s="1286" t="s">
        <v>62</v>
      </c>
      <c r="C48" s="782">
        <f>'TAR_Tab 2_Volumina'!N51</f>
        <v>0</v>
      </c>
      <c r="D48" s="976"/>
      <c r="E48" s="1318">
        <v>0</v>
      </c>
      <c r="F48" s="1116">
        <f t="shared" si="0"/>
        <v>0</v>
      </c>
      <c r="G48" s="1116">
        <f t="shared" si="1"/>
        <v>0</v>
      </c>
      <c r="H48" s="976"/>
      <c r="I48" s="1117">
        <f t="shared" si="10"/>
        <v>0</v>
      </c>
      <c r="J48" s="1117">
        <f t="shared" si="10"/>
        <v>0</v>
      </c>
      <c r="K48" s="1320"/>
      <c r="L48" s="1000" t="str">
        <f t="shared" si="4"/>
        <v/>
      </c>
      <c r="M48" s="1118">
        <f t="shared" si="5"/>
        <v>0</v>
      </c>
      <c r="N48" s="976"/>
      <c r="O48" s="1119">
        <f t="shared" si="6"/>
        <v>0</v>
      </c>
      <c r="P48" s="1119">
        <f t="shared" si="6"/>
        <v>0</v>
      </c>
      <c r="Q48" s="1119">
        <f t="shared" si="6"/>
        <v>0</v>
      </c>
      <c r="R48" s="1119">
        <f t="shared" si="6"/>
        <v>0</v>
      </c>
      <c r="S48" s="1119">
        <f t="shared" si="6"/>
        <v>0</v>
      </c>
      <c r="T48" s="1119">
        <f t="shared" si="6"/>
        <v>0</v>
      </c>
      <c r="U48" s="1119">
        <f t="shared" si="6"/>
        <v>0</v>
      </c>
      <c r="V48" s="1119">
        <f t="shared" si="6"/>
        <v>0</v>
      </c>
      <c r="W48" s="1119">
        <f t="shared" si="6"/>
        <v>0</v>
      </c>
      <c r="X48" s="978"/>
      <c r="Y48" s="1120">
        <f t="shared" si="7"/>
        <v>0</v>
      </c>
      <c r="Z48" s="1354"/>
      <c r="AA48" s="1001">
        <v>0</v>
      </c>
      <c r="AB48" s="978"/>
      <c r="AC48" s="1036">
        <f t="shared" si="8"/>
        <v>0</v>
      </c>
      <c r="AD48" s="783">
        <f t="shared" si="9"/>
        <v>0</v>
      </c>
      <c r="AE48" s="1321"/>
      <c r="AF48" s="1322"/>
      <c r="AG48" s="740"/>
    </row>
    <row r="49" spans="1:33">
      <c r="A49" s="96">
        <v>300091</v>
      </c>
      <c r="B49" s="1286" t="s">
        <v>63</v>
      </c>
      <c r="C49" s="782">
        <f>'TAR_Tab 2_Volumina'!N52</f>
        <v>0</v>
      </c>
      <c r="D49" s="976"/>
      <c r="E49" s="1318">
        <v>0</v>
      </c>
      <c r="F49" s="1116">
        <f t="shared" si="0"/>
        <v>0</v>
      </c>
      <c r="G49" s="1116">
        <f t="shared" si="1"/>
        <v>0</v>
      </c>
      <c r="H49" s="976"/>
      <c r="I49" s="1117">
        <f t="shared" si="10"/>
        <v>0</v>
      </c>
      <c r="J49" s="1117">
        <f t="shared" si="10"/>
        <v>0</v>
      </c>
      <c r="K49" s="1320"/>
      <c r="L49" s="1000" t="str">
        <f t="shared" si="4"/>
        <v/>
      </c>
      <c r="M49" s="1118">
        <f t="shared" si="5"/>
        <v>0</v>
      </c>
      <c r="N49" s="976"/>
      <c r="O49" s="1119">
        <f t="shared" si="6"/>
        <v>0</v>
      </c>
      <c r="P49" s="1119">
        <f t="shared" si="6"/>
        <v>0</v>
      </c>
      <c r="Q49" s="1119">
        <f t="shared" si="6"/>
        <v>0</v>
      </c>
      <c r="R49" s="1119">
        <f t="shared" si="6"/>
        <v>0</v>
      </c>
      <c r="S49" s="1119">
        <f t="shared" si="6"/>
        <v>0</v>
      </c>
      <c r="T49" s="1119">
        <f t="shared" si="6"/>
        <v>0</v>
      </c>
      <c r="U49" s="1119">
        <f t="shared" ref="P49:W81" si="11">$M49*U$5</f>
        <v>0</v>
      </c>
      <c r="V49" s="1119">
        <f t="shared" si="11"/>
        <v>0</v>
      </c>
      <c r="W49" s="1119">
        <f t="shared" si="11"/>
        <v>0</v>
      </c>
      <c r="X49" s="978"/>
      <c r="Y49" s="1120">
        <f t="shared" si="7"/>
        <v>0</v>
      </c>
      <c r="Z49" s="1354"/>
      <c r="AA49" s="1001">
        <v>0</v>
      </c>
      <c r="AB49" s="978"/>
      <c r="AC49" s="1036">
        <f t="shared" si="8"/>
        <v>0</v>
      </c>
      <c r="AD49" s="783">
        <f t="shared" si="9"/>
        <v>0</v>
      </c>
      <c r="AE49" s="1321"/>
      <c r="AF49" s="1322"/>
      <c r="AG49" s="740"/>
    </row>
    <row r="50" spans="1:33">
      <c r="A50" s="96">
        <v>300092</v>
      </c>
      <c r="B50" s="1286" t="s">
        <v>64</v>
      </c>
      <c r="C50" s="782">
        <f>'TAR_Tab 2_Volumina'!N53</f>
        <v>0</v>
      </c>
      <c r="D50" s="976"/>
      <c r="E50" s="1318">
        <v>0</v>
      </c>
      <c r="F50" s="1116">
        <f t="shared" si="0"/>
        <v>0</v>
      </c>
      <c r="G50" s="1116">
        <f t="shared" si="1"/>
        <v>0</v>
      </c>
      <c r="H50" s="976"/>
      <c r="I50" s="1117">
        <f t="shared" si="10"/>
        <v>0</v>
      </c>
      <c r="J50" s="1117">
        <f t="shared" si="10"/>
        <v>0</v>
      </c>
      <c r="K50" s="1320"/>
      <c r="L50" s="1000" t="str">
        <f t="shared" si="4"/>
        <v/>
      </c>
      <c r="M50" s="1118">
        <f t="shared" si="5"/>
        <v>0</v>
      </c>
      <c r="N50" s="976"/>
      <c r="O50" s="1119">
        <f t="shared" ref="O50:O113" si="12">$M50*O$5</f>
        <v>0</v>
      </c>
      <c r="P50" s="1119">
        <f t="shared" si="11"/>
        <v>0</v>
      </c>
      <c r="Q50" s="1119">
        <f t="shared" si="11"/>
        <v>0</v>
      </c>
      <c r="R50" s="1119">
        <f t="shared" si="11"/>
        <v>0</v>
      </c>
      <c r="S50" s="1119">
        <f t="shared" si="11"/>
        <v>0</v>
      </c>
      <c r="T50" s="1119">
        <f t="shared" si="11"/>
        <v>0</v>
      </c>
      <c r="U50" s="1119">
        <f t="shared" si="11"/>
        <v>0</v>
      </c>
      <c r="V50" s="1119">
        <f t="shared" si="11"/>
        <v>0</v>
      </c>
      <c r="W50" s="1119">
        <f t="shared" si="11"/>
        <v>0</v>
      </c>
      <c r="X50" s="978"/>
      <c r="Y50" s="1120">
        <f t="shared" si="7"/>
        <v>0</v>
      </c>
      <c r="Z50" s="1354"/>
      <c r="AA50" s="1001">
        <v>0</v>
      </c>
      <c r="AB50" s="978"/>
      <c r="AC50" s="1036">
        <f t="shared" si="8"/>
        <v>0</v>
      </c>
      <c r="AD50" s="783">
        <f t="shared" si="9"/>
        <v>0</v>
      </c>
      <c r="AE50" s="1321"/>
      <c r="AF50" s="1322"/>
      <c r="AG50" s="740"/>
    </row>
    <row r="51" spans="1:33">
      <c r="A51" s="96">
        <v>300095</v>
      </c>
      <c r="B51" s="1286" t="s">
        <v>262</v>
      </c>
      <c r="C51" s="782">
        <f>'TAR_Tab 2_Volumina'!N54</f>
        <v>0</v>
      </c>
      <c r="D51" s="976"/>
      <c r="E51" s="1318">
        <v>0</v>
      </c>
      <c r="F51" s="1116">
        <f t="shared" si="0"/>
        <v>0</v>
      </c>
      <c r="G51" s="1116">
        <f t="shared" si="1"/>
        <v>0</v>
      </c>
      <c r="H51" s="976"/>
      <c r="I51" s="1117">
        <f t="shared" si="10"/>
        <v>0</v>
      </c>
      <c r="J51" s="1117">
        <f t="shared" si="10"/>
        <v>0</v>
      </c>
      <c r="K51" s="1320"/>
      <c r="L51" s="1000" t="str">
        <f t="shared" si="4"/>
        <v/>
      </c>
      <c r="M51" s="1118">
        <f t="shared" si="5"/>
        <v>0</v>
      </c>
      <c r="N51" s="976"/>
      <c r="O51" s="1119">
        <f t="shared" si="12"/>
        <v>0</v>
      </c>
      <c r="P51" s="1119">
        <f t="shared" si="11"/>
        <v>0</v>
      </c>
      <c r="Q51" s="1119">
        <f t="shared" si="11"/>
        <v>0</v>
      </c>
      <c r="R51" s="1119">
        <f t="shared" si="11"/>
        <v>0</v>
      </c>
      <c r="S51" s="1119">
        <f t="shared" si="11"/>
        <v>0</v>
      </c>
      <c r="T51" s="1119">
        <f t="shared" si="11"/>
        <v>0</v>
      </c>
      <c r="U51" s="1119">
        <f t="shared" si="11"/>
        <v>0</v>
      </c>
      <c r="V51" s="1119">
        <f t="shared" si="11"/>
        <v>0</v>
      </c>
      <c r="W51" s="1119">
        <f t="shared" si="11"/>
        <v>0</v>
      </c>
      <c r="X51" s="978"/>
      <c r="Y51" s="1120">
        <f t="shared" si="7"/>
        <v>0</v>
      </c>
      <c r="Z51" s="1354"/>
      <c r="AA51" s="1001">
        <v>0</v>
      </c>
      <c r="AB51" s="978"/>
      <c r="AC51" s="1036">
        <f t="shared" si="8"/>
        <v>0</v>
      </c>
      <c r="AD51" s="783">
        <f t="shared" si="9"/>
        <v>0</v>
      </c>
      <c r="AE51" s="1321"/>
      <c r="AF51" s="1322"/>
      <c r="AG51" s="740"/>
    </row>
    <row r="52" spans="1:33">
      <c r="A52" s="96">
        <v>300096</v>
      </c>
      <c r="B52" s="1286" t="s">
        <v>65</v>
      </c>
      <c r="C52" s="782">
        <f>'TAR_Tab 2_Volumina'!N55</f>
        <v>0</v>
      </c>
      <c r="D52" s="976"/>
      <c r="E52" s="1318">
        <v>0</v>
      </c>
      <c r="F52" s="1116">
        <f t="shared" si="0"/>
        <v>0</v>
      </c>
      <c r="G52" s="1116">
        <f t="shared" si="1"/>
        <v>0</v>
      </c>
      <c r="H52" s="976"/>
      <c r="I52" s="1117">
        <f t="shared" si="10"/>
        <v>0</v>
      </c>
      <c r="J52" s="1117">
        <f t="shared" si="10"/>
        <v>0</v>
      </c>
      <c r="K52" s="1320"/>
      <c r="L52" s="1000" t="str">
        <f t="shared" si="4"/>
        <v/>
      </c>
      <c r="M52" s="1118">
        <f t="shared" si="5"/>
        <v>0</v>
      </c>
      <c r="N52" s="976"/>
      <c r="O52" s="1119">
        <f t="shared" si="12"/>
        <v>0</v>
      </c>
      <c r="P52" s="1119">
        <f t="shared" si="11"/>
        <v>0</v>
      </c>
      <c r="Q52" s="1119">
        <f t="shared" si="11"/>
        <v>0</v>
      </c>
      <c r="R52" s="1119">
        <f t="shared" si="11"/>
        <v>0</v>
      </c>
      <c r="S52" s="1119">
        <f t="shared" si="11"/>
        <v>0</v>
      </c>
      <c r="T52" s="1119">
        <f t="shared" si="11"/>
        <v>0</v>
      </c>
      <c r="U52" s="1119">
        <f t="shared" si="11"/>
        <v>0</v>
      </c>
      <c r="V52" s="1119">
        <f t="shared" si="11"/>
        <v>0</v>
      </c>
      <c r="W52" s="1119">
        <f t="shared" si="11"/>
        <v>0</v>
      </c>
      <c r="X52" s="978"/>
      <c r="Y52" s="1120">
        <f t="shared" si="7"/>
        <v>0</v>
      </c>
      <c r="Z52" s="1354"/>
      <c r="AA52" s="1001">
        <v>0</v>
      </c>
      <c r="AB52" s="978"/>
      <c r="AC52" s="1036">
        <f t="shared" si="8"/>
        <v>0</v>
      </c>
      <c r="AD52" s="783">
        <f t="shared" si="9"/>
        <v>0</v>
      </c>
      <c r="AE52" s="1321"/>
      <c r="AF52" s="1322"/>
      <c r="AG52" s="740"/>
    </row>
    <row r="53" spans="1:33">
      <c r="A53" s="96">
        <v>300097</v>
      </c>
      <c r="B53" s="1286" t="s">
        <v>66</v>
      </c>
      <c r="C53" s="782">
        <f>'TAR_Tab 2_Volumina'!N56</f>
        <v>0</v>
      </c>
      <c r="D53" s="976"/>
      <c r="E53" s="1318">
        <v>0</v>
      </c>
      <c r="F53" s="1116">
        <f t="shared" si="0"/>
        <v>0</v>
      </c>
      <c r="G53" s="1116">
        <f t="shared" si="1"/>
        <v>0</v>
      </c>
      <c r="H53" s="976"/>
      <c r="I53" s="1117">
        <f t="shared" si="10"/>
        <v>0</v>
      </c>
      <c r="J53" s="1117">
        <f t="shared" si="10"/>
        <v>0</v>
      </c>
      <c r="K53" s="1320"/>
      <c r="L53" s="1000" t="str">
        <f t="shared" si="4"/>
        <v/>
      </c>
      <c r="M53" s="1118">
        <f t="shared" si="5"/>
        <v>0</v>
      </c>
      <c r="N53" s="976"/>
      <c r="O53" s="1119">
        <f t="shared" si="12"/>
        <v>0</v>
      </c>
      <c r="P53" s="1119">
        <f t="shared" si="11"/>
        <v>0</v>
      </c>
      <c r="Q53" s="1119">
        <f t="shared" si="11"/>
        <v>0</v>
      </c>
      <c r="R53" s="1119">
        <f t="shared" si="11"/>
        <v>0</v>
      </c>
      <c r="S53" s="1119">
        <f t="shared" si="11"/>
        <v>0</v>
      </c>
      <c r="T53" s="1119">
        <f t="shared" si="11"/>
        <v>0</v>
      </c>
      <c r="U53" s="1119">
        <f t="shared" si="11"/>
        <v>0</v>
      </c>
      <c r="V53" s="1119">
        <f t="shared" si="11"/>
        <v>0</v>
      </c>
      <c r="W53" s="1119">
        <f t="shared" si="11"/>
        <v>0</v>
      </c>
      <c r="X53" s="978"/>
      <c r="Y53" s="1120">
        <f t="shared" si="7"/>
        <v>0</v>
      </c>
      <c r="Z53" s="1354"/>
      <c r="AA53" s="1001">
        <v>0</v>
      </c>
      <c r="AB53" s="978"/>
      <c r="AC53" s="1036">
        <f t="shared" si="8"/>
        <v>0</v>
      </c>
      <c r="AD53" s="783">
        <f t="shared" si="9"/>
        <v>0</v>
      </c>
      <c r="AE53" s="1321"/>
      <c r="AF53" s="1322"/>
      <c r="AG53" s="740"/>
    </row>
    <row r="54" spans="1:33">
      <c r="A54" s="96">
        <v>300099</v>
      </c>
      <c r="B54" s="1286" t="s">
        <v>67</v>
      </c>
      <c r="C54" s="782">
        <f>'TAR_Tab 2_Volumina'!N57</f>
        <v>0</v>
      </c>
      <c r="D54" s="976"/>
      <c r="E54" s="1318">
        <v>0</v>
      </c>
      <c r="F54" s="1116">
        <f t="shared" si="0"/>
        <v>0</v>
      </c>
      <c r="G54" s="1116">
        <f t="shared" si="1"/>
        <v>0</v>
      </c>
      <c r="H54" s="976"/>
      <c r="I54" s="1117">
        <f t="shared" si="10"/>
        <v>0</v>
      </c>
      <c r="J54" s="1117">
        <f t="shared" si="10"/>
        <v>0</v>
      </c>
      <c r="K54" s="1320"/>
      <c r="L54" s="1000" t="str">
        <f t="shared" si="4"/>
        <v/>
      </c>
      <c r="M54" s="1118">
        <f t="shared" si="5"/>
        <v>0</v>
      </c>
      <c r="N54" s="976"/>
      <c r="O54" s="1119">
        <f t="shared" si="12"/>
        <v>0</v>
      </c>
      <c r="P54" s="1119">
        <f t="shared" si="11"/>
        <v>0</v>
      </c>
      <c r="Q54" s="1119">
        <f t="shared" si="11"/>
        <v>0</v>
      </c>
      <c r="R54" s="1119">
        <f t="shared" si="11"/>
        <v>0</v>
      </c>
      <c r="S54" s="1119">
        <f t="shared" si="11"/>
        <v>0</v>
      </c>
      <c r="T54" s="1119">
        <f t="shared" si="11"/>
        <v>0</v>
      </c>
      <c r="U54" s="1119">
        <f t="shared" si="11"/>
        <v>0</v>
      </c>
      <c r="V54" s="1119">
        <f t="shared" si="11"/>
        <v>0</v>
      </c>
      <c r="W54" s="1119">
        <f t="shared" si="11"/>
        <v>0</v>
      </c>
      <c r="X54" s="978"/>
      <c r="Y54" s="1120">
        <f t="shared" si="7"/>
        <v>0</v>
      </c>
      <c r="Z54" s="1354"/>
      <c r="AA54" s="1001">
        <v>0</v>
      </c>
      <c r="AB54" s="978"/>
      <c r="AC54" s="1036">
        <f t="shared" si="8"/>
        <v>0</v>
      </c>
      <c r="AD54" s="783">
        <f t="shared" si="9"/>
        <v>0</v>
      </c>
      <c r="AE54" s="1321"/>
      <c r="AF54" s="1322"/>
      <c r="AG54" s="740"/>
    </row>
    <row r="55" spans="1:33">
      <c r="A55" s="96">
        <v>300100</v>
      </c>
      <c r="B55" s="1286" t="s">
        <v>28</v>
      </c>
      <c r="C55" s="782">
        <f>'TAR_Tab 2_Volumina'!N58</f>
        <v>0</v>
      </c>
      <c r="D55" s="976"/>
      <c r="E55" s="1318">
        <v>0</v>
      </c>
      <c r="F55" s="1116">
        <f t="shared" si="0"/>
        <v>0</v>
      </c>
      <c r="G55" s="1116">
        <f t="shared" si="1"/>
        <v>0</v>
      </c>
      <c r="H55" s="976"/>
      <c r="I55" s="1117">
        <f t="shared" si="10"/>
        <v>0</v>
      </c>
      <c r="J55" s="1117">
        <f t="shared" si="10"/>
        <v>0</v>
      </c>
      <c r="K55" s="1320"/>
      <c r="L55" s="1000" t="str">
        <f t="shared" si="4"/>
        <v/>
      </c>
      <c r="M55" s="1118">
        <f t="shared" si="5"/>
        <v>0</v>
      </c>
      <c r="N55" s="976"/>
      <c r="O55" s="1119">
        <f t="shared" si="12"/>
        <v>0</v>
      </c>
      <c r="P55" s="1119">
        <f t="shared" si="11"/>
        <v>0</v>
      </c>
      <c r="Q55" s="1119">
        <f t="shared" si="11"/>
        <v>0</v>
      </c>
      <c r="R55" s="1119">
        <f t="shared" si="11"/>
        <v>0</v>
      </c>
      <c r="S55" s="1119">
        <f t="shared" si="11"/>
        <v>0</v>
      </c>
      <c r="T55" s="1119">
        <f t="shared" si="11"/>
        <v>0</v>
      </c>
      <c r="U55" s="1119">
        <f t="shared" si="11"/>
        <v>0</v>
      </c>
      <c r="V55" s="1119">
        <f t="shared" si="11"/>
        <v>0</v>
      </c>
      <c r="W55" s="1119">
        <f t="shared" si="11"/>
        <v>0</v>
      </c>
      <c r="X55" s="978"/>
      <c r="Y55" s="1120">
        <f t="shared" si="7"/>
        <v>0</v>
      </c>
      <c r="Z55" s="1354"/>
      <c r="AA55" s="1001">
        <v>0</v>
      </c>
      <c r="AB55" s="978"/>
      <c r="AC55" s="1036">
        <f t="shared" si="8"/>
        <v>0</v>
      </c>
      <c r="AD55" s="783">
        <f t="shared" si="9"/>
        <v>0</v>
      </c>
      <c r="AE55" s="1321"/>
      <c r="AF55" s="1322"/>
      <c r="AG55" s="740"/>
    </row>
    <row r="56" spans="1:33">
      <c r="A56" s="96">
        <v>300131</v>
      </c>
      <c r="B56" s="1286" t="s">
        <v>33</v>
      </c>
      <c r="C56" s="782">
        <f>'TAR_Tab 2_Volumina'!N59</f>
        <v>0</v>
      </c>
      <c r="D56" s="976"/>
      <c r="E56" s="1318">
        <v>0</v>
      </c>
      <c r="F56" s="1116">
        <f t="shared" si="0"/>
        <v>0</v>
      </c>
      <c r="G56" s="1116">
        <f t="shared" si="1"/>
        <v>0</v>
      </c>
      <c r="H56" s="976"/>
      <c r="I56" s="1117">
        <f t="shared" si="10"/>
        <v>0</v>
      </c>
      <c r="J56" s="1117">
        <f t="shared" si="10"/>
        <v>0</v>
      </c>
      <c r="K56" s="1320"/>
      <c r="L56" s="1000" t="str">
        <f t="shared" si="4"/>
        <v/>
      </c>
      <c r="M56" s="1118">
        <f t="shared" si="5"/>
        <v>0</v>
      </c>
      <c r="N56" s="976"/>
      <c r="O56" s="1119">
        <f t="shared" si="12"/>
        <v>0</v>
      </c>
      <c r="P56" s="1119">
        <f t="shared" si="11"/>
        <v>0</v>
      </c>
      <c r="Q56" s="1119">
        <f t="shared" si="11"/>
        <v>0</v>
      </c>
      <c r="R56" s="1119">
        <f t="shared" si="11"/>
        <v>0</v>
      </c>
      <c r="S56" s="1119">
        <f t="shared" si="11"/>
        <v>0</v>
      </c>
      <c r="T56" s="1119">
        <f t="shared" si="11"/>
        <v>0</v>
      </c>
      <c r="U56" s="1119">
        <f t="shared" si="11"/>
        <v>0</v>
      </c>
      <c r="V56" s="1119">
        <f t="shared" si="11"/>
        <v>0</v>
      </c>
      <c r="W56" s="1119">
        <f t="shared" si="11"/>
        <v>0</v>
      </c>
      <c r="X56" s="978"/>
      <c r="Y56" s="1120">
        <f t="shared" si="7"/>
        <v>0</v>
      </c>
      <c r="Z56" s="1354"/>
      <c r="AA56" s="1001">
        <v>0</v>
      </c>
      <c r="AB56" s="978"/>
      <c r="AC56" s="1036">
        <f t="shared" si="8"/>
        <v>0</v>
      </c>
      <c r="AD56" s="783">
        <f t="shared" si="9"/>
        <v>0</v>
      </c>
      <c r="AE56" s="1321"/>
      <c r="AF56" s="1322"/>
      <c r="AG56" s="740"/>
    </row>
    <row r="57" spans="1:33">
      <c r="A57" s="96">
        <v>300132</v>
      </c>
      <c r="B57" s="1286" t="s">
        <v>749</v>
      </c>
      <c r="C57" s="782">
        <f>'TAR_Tab 2_Volumina'!N60</f>
        <v>0</v>
      </c>
      <c r="D57" s="976"/>
      <c r="E57" s="1318">
        <v>0</v>
      </c>
      <c r="F57" s="1116">
        <f t="shared" si="0"/>
        <v>0</v>
      </c>
      <c r="G57" s="1116">
        <f t="shared" si="1"/>
        <v>0</v>
      </c>
      <c r="H57" s="976"/>
      <c r="I57" s="1117">
        <f t="shared" si="10"/>
        <v>0</v>
      </c>
      <c r="J57" s="1117">
        <f t="shared" si="10"/>
        <v>0</v>
      </c>
      <c r="K57" s="1320"/>
      <c r="L57" s="1000" t="str">
        <f t="shared" si="4"/>
        <v/>
      </c>
      <c r="M57" s="1118">
        <f t="shared" si="5"/>
        <v>0</v>
      </c>
      <c r="N57" s="976"/>
      <c r="O57" s="1119">
        <f t="shared" si="12"/>
        <v>0</v>
      </c>
      <c r="P57" s="1119">
        <f t="shared" si="11"/>
        <v>0</v>
      </c>
      <c r="Q57" s="1119">
        <f t="shared" si="11"/>
        <v>0</v>
      </c>
      <c r="R57" s="1119">
        <f t="shared" si="11"/>
        <v>0</v>
      </c>
      <c r="S57" s="1119">
        <f t="shared" si="11"/>
        <v>0</v>
      </c>
      <c r="T57" s="1119">
        <f t="shared" si="11"/>
        <v>0</v>
      </c>
      <c r="U57" s="1119">
        <f t="shared" si="11"/>
        <v>0</v>
      </c>
      <c r="V57" s="1119">
        <f t="shared" si="11"/>
        <v>0</v>
      </c>
      <c r="W57" s="1119">
        <f t="shared" si="11"/>
        <v>0</v>
      </c>
      <c r="X57" s="978"/>
      <c r="Y57" s="1120">
        <f t="shared" si="7"/>
        <v>0</v>
      </c>
      <c r="Z57" s="1354"/>
      <c r="AA57" s="1001">
        <v>0</v>
      </c>
      <c r="AB57" s="978"/>
      <c r="AC57" s="1036">
        <f t="shared" si="8"/>
        <v>0</v>
      </c>
      <c r="AD57" s="783">
        <f t="shared" si="9"/>
        <v>0</v>
      </c>
      <c r="AE57" s="1321"/>
      <c r="AF57" s="1322"/>
      <c r="AG57" s="740"/>
    </row>
    <row r="58" spans="1:33">
      <c r="A58" s="96">
        <v>300133</v>
      </c>
      <c r="B58" s="1286" t="s">
        <v>750</v>
      </c>
      <c r="C58" s="782">
        <f>'TAR_Tab 2_Volumina'!N61</f>
        <v>0</v>
      </c>
      <c r="D58" s="976"/>
      <c r="E58" s="1318">
        <v>0</v>
      </c>
      <c r="F58" s="1116">
        <f t="shared" si="0"/>
        <v>0</v>
      </c>
      <c r="G58" s="1116">
        <f t="shared" si="1"/>
        <v>0</v>
      </c>
      <c r="H58" s="976"/>
      <c r="I58" s="1117">
        <f t="shared" si="10"/>
        <v>0</v>
      </c>
      <c r="J58" s="1117">
        <f t="shared" si="10"/>
        <v>0</v>
      </c>
      <c r="K58" s="1320"/>
      <c r="L58" s="1000" t="str">
        <f t="shared" si="4"/>
        <v/>
      </c>
      <c r="M58" s="1118">
        <f t="shared" si="5"/>
        <v>0</v>
      </c>
      <c r="N58" s="976"/>
      <c r="O58" s="1119">
        <f t="shared" si="12"/>
        <v>0</v>
      </c>
      <c r="P58" s="1119">
        <f t="shared" si="11"/>
        <v>0</v>
      </c>
      <c r="Q58" s="1119">
        <f t="shared" si="11"/>
        <v>0</v>
      </c>
      <c r="R58" s="1119">
        <f t="shared" si="11"/>
        <v>0</v>
      </c>
      <c r="S58" s="1119">
        <f t="shared" si="11"/>
        <v>0</v>
      </c>
      <c r="T58" s="1119">
        <f t="shared" si="11"/>
        <v>0</v>
      </c>
      <c r="U58" s="1119">
        <f t="shared" si="11"/>
        <v>0</v>
      </c>
      <c r="V58" s="1119">
        <f t="shared" si="11"/>
        <v>0</v>
      </c>
      <c r="W58" s="1119">
        <f t="shared" si="11"/>
        <v>0</v>
      </c>
      <c r="X58" s="978"/>
      <c r="Y58" s="1120">
        <f t="shared" si="7"/>
        <v>0</v>
      </c>
      <c r="Z58" s="1354"/>
      <c r="AA58" s="1001">
        <v>0</v>
      </c>
      <c r="AB58" s="978"/>
      <c r="AC58" s="1036">
        <f t="shared" si="8"/>
        <v>0</v>
      </c>
      <c r="AD58" s="783">
        <f t="shared" si="9"/>
        <v>0</v>
      </c>
      <c r="AE58" s="1321"/>
      <c r="AF58" s="1322"/>
      <c r="AG58" s="740"/>
    </row>
    <row r="59" spans="1:33">
      <c r="A59" s="96">
        <v>300136</v>
      </c>
      <c r="B59" s="1286" t="s">
        <v>656</v>
      </c>
      <c r="C59" s="782">
        <f>'TAR_Tab 2_Volumina'!N62</f>
        <v>0</v>
      </c>
      <c r="D59" s="976"/>
      <c r="E59" s="1318">
        <v>0</v>
      </c>
      <c r="F59" s="1116">
        <f t="shared" si="0"/>
        <v>0</v>
      </c>
      <c r="G59" s="1116">
        <f t="shared" si="1"/>
        <v>0</v>
      </c>
      <c r="H59" s="976"/>
      <c r="I59" s="1117">
        <f t="shared" si="10"/>
        <v>0</v>
      </c>
      <c r="J59" s="1117">
        <f t="shared" si="10"/>
        <v>0</v>
      </c>
      <c r="K59" s="1320"/>
      <c r="L59" s="1000" t="str">
        <f t="shared" si="4"/>
        <v/>
      </c>
      <c r="M59" s="1118">
        <f t="shared" si="5"/>
        <v>0</v>
      </c>
      <c r="N59" s="976"/>
      <c r="O59" s="1119">
        <f t="shared" si="12"/>
        <v>0</v>
      </c>
      <c r="P59" s="1119">
        <f t="shared" si="11"/>
        <v>0</v>
      </c>
      <c r="Q59" s="1119">
        <f t="shared" si="11"/>
        <v>0</v>
      </c>
      <c r="R59" s="1119">
        <f t="shared" si="11"/>
        <v>0</v>
      </c>
      <c r="S59" s="1119">
        <f t="shared" si="11"/>
        <v>0</v>
      </c>
      <c r="T59" s="1119">
        <f t="shared" si="11"/>
        <v>0</v>
      </c>
      <c r="U59" s="1119">
        <f t="shared" si="11"/>
        <v>0</v>
      </c>
      <c r="V59" s="1119">
        <f t="shared" si="11"/>
        <v>0</v>
      </c>
      <c r="W59" s="1119">
        <f t="shared" si="11"/>
        <v>0</v>
      </c>
      <c r="X59" s="978"/>
      <c r="Y59" s="1120">
        <f t="shared" si="7"/>
        <v>0</v>
      </c>
      <c r="Z59" s="1354"/>
      <c r="AA59" s="1001">
        <v>0</v>
      </c>
      <c r="AB59" s="978"/>
      <c r="AC59" s="1036">
        <f t="shared" si="8"/>
        <v>0</v>
      </c>
      <c r="AD59" s="783">
        <f t="shared" si="9"/>
        <v>0</v>
      </c>
      <c r="AE59" s="1321"/>
      <c r="AF59" s="1322"/>
      <c r="AG59" s="740"/>
    </row>
    <row r="60" spans="1:33">
      <c r="A60" s="96">
        <v>300138</v>
      </c>
      <c r="B60" s="1286" t="s">
        <v>751</v>
      </c>
      <c r="C60" s="782">
        <f>'TAR_Tab 2_Volumina'!N63</f>
        <v>0</v>
      </c>
      <c r="D60" s="976"/>
      <c r="E60" s="1318">
        <v>0</v>
      </c>
      <c r="F60" s="1116">
        <f t="shared" si="0"/>
        <v>0</v>
      </c>
      <c r="G60" s="1116">
        <f t="shared" si="1"/>
        <v>0</v>
      </c>
      <c r="H60" s="976"/>
      <c r="I60" s="1117">
        <f t="shared" si="10"/>
        <v>0</v>
      </c>
      <c r="J60" s="1117">
        <f t="shared" si="10"/>
        <v>0</v>
      </c>
      <c r="K60" s="1320"/>
      <c r="L60" s="1000" t="str">
        <f t="shared" si="4"/>
        <v/>
      </c>
      <c r="M60" s="1118">
        <f t="shared" si="5"/>
        <v>0</v>
      </c>
      <c r="N60" s="976"/>
      <c r="O60" s="1119">
        <f t="shared" si="12"/>
        <v>0</v>
      </c>
      <c r="P60" s="1119">
        <f t="shared" si="11"/>
        <v>0</v>
      </c>
      <c r="Q60" s="1119">
        <f t="shared" si="11"/>
        <v>0</v>
      </c>
      <c r="R60" s="1119">
        <f t="shared" si="11"/>
        <v>0</v>
      </c>
      <c r="S60" s="1119">
        <f t="shared" si="11"/>
        <v>0</v>
      </c>
      <c r="T60" s="1119">
        <f t="shared" si="11"/>
        <v>0</v>
      </c>
      <c r="U60" s="1119">
        <f t="shared" si="11"/>
        <v>0</v>
      </c>
      <c r="V60" s="1119">
        <f t="shared" si="11"/>
        <v>0</v>
      </c>
      <c r="W60" s="1119">
        <f t="shared" si="11"/>
        <v>0</v>
      </c>
      <c r="X60" s="978"/>
      <c r="Y60" s="1120">
        <f t="shared" si="7"/>
        <v>0</v>
      </c>
      <c r="Z60" s="1354"/>
      <c r="AA60" s="1001">
        <v>0</v>
      </c>
      <c r="AB60" s="978"/>
      <c r="AC60" s="1036">
        <f t="shared" si="8"/>
        <v>0</v>
      </c>
      <c r="AD60" s="783">
        <f t="shared" si="9"/>
        <v>0</v>
      </c>
      <c r="AE60" s="1321"/>
      <c r="AF60" s="1322"/>
      <c r="AG60" s="740"/>
    </row>
    <row r="61" spans="1:33">
      <c r="A61" s="96">
        <v>300139</v>
      </c>
      <c r="B61" s="1286" t="s">
        <v>752</v>
      </c>
      <c r="C61" s="782">
        <f>'TAR_Tab 2_Volumina'!N64</f>
        <v>0</v>
      </c>
      <c r="D61" s="976"/>
      <c r="E61" s="1318">
        <v>0</v>
      </c>
      <c r="F61" s="1116">
        <f t="shared" si="0"/>
        <v>0</v>
      </c>
      <c r="G61" s="1116">
        <f t="shared" si="1"/>
        <v>0</v>
      </c>
      <c r="H61" s="976"/>
      <c r="I61" s="1117">
        <f t="shared" si="10"/>
        <v>0</v>
      </c>
      <c r="J61" s="1117">
        <f t="shared" si="10"/>
        <v>0</v>
      </c>
      <c r="K61" s="1320"/>
      <c r="L61" s="1000" t="str">
        <f t="shared" si="4"/>
        <v/>
      </c>
      <c r="M61" s="1118">
        <f t="shared" si="5"/>
        <v>0</v>
      </c>
      <c r="N61" s="976"/>
      <c r="O61" s="1119">
        <f t="shared" si="12"/>
        <v>0</v>
      </c>
      <c r="P61" s="1119">
        <f t="shared" si="11"/>
        <v>0</v>
      </c>
      <c r="Q61" s="1119">
        <f t="shared" si="11"/>
        <v>0</v>
      </c>
      <c r="R61" s="1119">
        <f t="shared" si="11"/>
        <v>0</v>
      </c>
      <c r="S61" s="1119">
        <f t="shared" si="11"/>
        <v>0</v>
      </c>
      <c r="T61" s="1119">
        <f t="shared" si="11"/>
        <v>0</v>
      </c>
      <c r="U61" s="1119">
        <f t="shared" si="11"/>
        <v>0</v>
      </c>
      <c r="V61" s="1119">
        <f t="shared" si="11"/>
        <v>0</v>
      </c>
      <c r="W61" s="1119">
        <f t="shared" si="11"/>
        <v>0</v>
      </c>
      <c r="X61" s="978"/>
      <c r="Y61" s="1120">
        <f t="shared" si="7"/>
        <v>0</v>
      </c>
      <c r="Z61" s="1354"/>
      <c r="AA61" s="1001">
        <v>0</v>
      </c>
      <c r="AB61" s="978"/>
      <c r="AC61" s="1036">
        <f t="shared" si="8"/>
        <v>0</v>
      </c>
      <c r="AD61" s="783">
        <f t="shared" si="9"/>
        <v>0</v>
      </c>
      <c r="AE61" s="1321"/>
      <c r="AF61" s="1322"/>
      <c r="AG61" s="740"/>
    </row>
    <row r="62" spans="1:33">
      <c r="A62" s="96">
        <v>300140</v>
      </c>
      <c r="B62" s="1286" t="s">
        <v>648</v>
      </c>
      <c r="C62" s="782">
        <f>'TAR_Tab 2_Volumina'!N65</f>
        <v>0</v>
      </c>
      <c r="D62" s="976"/>
      <c r="E62" s="1318">
        <v>0</v>
      </c>
      <c r="F62" s="1116">
        <f t="shared" si="0"/>
        <v>0</v>
      </c>
      <c r="G62" s="1116">
        <f t="shared" si="1"/>
        <v>0</v>
      </c>
      <c r="H62" s="976"/>
      <c r="I62" s="1117">
        <f t="shared" si="10"/>
        <v>0</v>
      </c>
      <c r="J62" s="1117">
        <f t="shared" si="10"/>
        <v>0</v>
      </c>
      <c r="K62" s="1320"/>
      <c r="L62" s="1000" t="str">
        <f t="shared" si="4"/>
        <v/>
      </c>
      <c r="M62" s="1118">
        <f t="shared" si="5"/>
        <v>0</v>
      </c>
      <c r="N62" s="976"/>
      <c r="O62" s="1119">
        <f t="shared" si="12"/>
        <v>0</v>
      </c>
      <c r="P62" s="1119">
        <f t="shared" si="11"/>
        <v>0</v>
      </c>
      <c r="Q62" s="1119">
        <f t="shared" si="11"/>
        <v>0</v>
      </c>
      <c r="R62" s="1119">
        <f t="shared" si="11"/>
        <v>0</v>
      </c>
      <c r="S62" s="1119">
        <f t="shared" si="11"/>
        <v>0</v>
      </c>
      <c r="T62" s="1119">
        <f t="shared" si="11"/>
        <v>0</v>
      </c>
      <c r="U62" s="1119">
        <f t="shared" si="11"/>
        <v>0</v>
      </c>
      <c r="V62" s="1119">
        <f t="shared" si="11"/>
        <v>0</v>
      </c>
      <c r="W62" s="1119">
        <f t="shared" si="11"/>
        <v>0</v>
      </c>
      <c r="X62" s="978"/>
      <c r="Y62" s="1120">
        <f t="shared" si="7"/>
        <v>0</v>
      </c>
      <c r="Z62" s="1354"/>
      <c r="AA62" s="1001">
        <v>0</v>
      </c>
      <c r="AB62" s="978"/>
      <c r="AC62" s="1036">
        <f t="shared" si="8"/>
        <v>0</v>
      </c>
      <c r="AD62" s="783">
        <f t="shared" si="9"/>
        <v>0</v>
      </c>
      <c r="AE62" s="1321"/>
      <c r="AF62" s="1322"/>
      <c r="AG62" s="740"/>
    </row>
    <row r="63" spans="1:33">
      <c r="A63" s="96">
        <v>300141</v>
      </c>
      <c r="B63" s="1286" t="s">
        <v>753</v>
      </c>
      <c r="C63" s="782">
        <f>'TAR_Tab 2_Volumina'!N66</f>
        <v>0</v>
      </c>
      <c r="D63" s="976"/>
      <c r="E63" s="1318">
        <v>0</v>
      </c>
      <c r="F63" s="1116">
        <f t="shared" si="0"/>
        <v>0</v>
      </c>
      <c r="G63" s="1116">
        <f t="shared" si="1"/>
        <v>0</v>
      </c>
      <c r="H63" s="976"/>
      <c r="I63" s="1117">
        <f t="shared" si="10"/>
        <v>0</v>
      </c>
      <c r="J63" s="1117">
        <f t="shared" si="10"/>
        <v>0</v>
      </c>
      <c r="K63" s="1320"/>
      <c r="L63" s="1000" t="str">
        <f t="shared" si="4"/>
        <v/>
      </c>
      <c r="M63" s="1118">
        <f t="shared" si="5"/>
        <v>0</v>
      </c>
      <c r="N63" s="976"/>
      <c r="O63" s="1119">
        <f t="shared" si="12"/>
        <v>0</v>
      </c>
      <c r="P63" s="1119">
        <f t="shared" si="11"/>
        <v>0</v>
      </c>
      <c r="Q63" s="1119">
        <f t="shared" si="11"/>
        <v>0</v>
      </c>
      <c r="R63" s="1119">
        <f t="shared" si="11"/>
        <v>0</v>
      </c>
      <c r="S63" s="1119">
        <f t="shared" si="11"/>
        <v>0</v>
      </c>
      <c r="T63" s="1119">
        <f t="shared" si="11"/>
        <v>0</v>
      </c>
      <c r="U63" s="1119">
        <f t="shared" si="11"/>
        <v>0</v>
      </c>
      <c r="V63" s="1119">
        <f t="shared" si="11"/>
        <v>0</v>
      </c>
      <c r="W63" s="1119">
        <f t="shared" si="11"/>
        <v>0</v>
      </c>
      <c r="X63" s="978"/>
      <c r="Y63" s="1120">
        <f t="shared" si="7"/>
        <v>0</v>
      </c>
      <c r="Z63" s="1354"/>
      <c r="AA63" s="1001">
        <v>0</v>
      </c>
      <c r="AB63" s="978"/>
      <c r="AC63" s="1036">
        <f t="shared" si="8"/>
        <v>0</v>
      </c>
      <c r="AD63" s="783">
        <f t="shared" si="9"/>
        <v>0</v>
      </c>
      <c r="AE63" s="1321"/>
      <c r="AF63" s="1322"/>
      <c r="AG63" s="740"/>
    </row>
    <row r="64" spans="1:33">
      <c r="A64" s="96">
        <v>300142</v>
      </c>
      <c r="B64" s="1286" t="s">
        <v>34</v>
      </c>
      <c r="C64" s="782">
        <f>'TAR_Tab 2_Volumina'!N67</f>
        <v>0</v>
      </c>
      <c r="D64" s="976"/>
      <c r="E64" s="1318">
        <v>0</v>
      </c>
      <c r="F64" s="1116">
        <f t="shared" si="0"/>
        <v>0</v>
      </c>
      <c r="G64" s="1116">
        <f t="shared" si="1"/>
        <v>0</v>
      </c>
      <c r="H64" s="976"/>
      <c r="I64" s="1117">
        <f t="shared" si="10"/>
        <v>0</v>
      </c>
      <c r="J64" s="1117">
        <f t="shared" si="10"/>
        <v>0</v>
      </c>
      <c r="K64" s="1320"/>
      <c r="L64" s="1000" t="str">
        <f t="shared" si="4"/>
        <v/>
      </c>
      <c r="M64" s="1118">
        <f t="shared" si="5"/>
        <v>0</v>
      </c>
      <c r="N64" s="976"/>
      <c r="O64" s="1119">
        <f t="shared" si="12"/>
        <v>0</v>
      </c>
      <c r="P64" s="1119">
        <f t="shared" si="11"/>
        <v>0</v>
      </c>
      <c r="Q64" s="1119">
        <f t="shared" si="11"/>
        <v>0</v>
      </c>
      <c r="R64" s="1119">
        <f t="shared" si="11"/>
        <v>0</v>
      </c>
      <c r="S64" s="1119">
        <f t="shared" si="11"/>
        <v>0</v>
      </c>
      <c r="T64" s="1119">
        <f t="shared" si="11"/>
        <v>0</v>
      </c>
      <c r="U64" s="1119">
        <f t="shared" si="11"/>
        <v>0</v>
      </c>
      <c r="V64" s="1119">
        <f t="shared" si="11"/>
        <v>0</v>
      </c>
      <c r="W64" s="1119">
        <f t="shared" si="11"/>
        <v>0</v>
      </c>
      <c r="X64" s="978"/>
      <c r="Y64" s="1120">
        <f t="shared" si="7"/>
        <v>0</v>
      </c>
      <c r="Z64" s="1354"/>
      <c r="AA64" s="1001">
        <v>0</v>
      </c>
      <c r="AB64" s="978"/>
      <c r="AC64" s="1036">
        <f t="shared" si="8"/>
        <v>0</v>
      </c>
      <c r="AD64" s="783">
        <f t="shared" si="9"/>
        <v>0</v>
      </c>
      <c r="AE64" s="1321"/>
      <c r="AF64" s="1322"/>
      <c r="AG64" s="740"/>
    </row>
    <row r="65" spans="1:33">
      <c r="A65" s="96">
        <v>300143</v>
      </c>
      <c r="B65" s="1286" t="s">
        <v>35</v>
      </c>
      <c r="C65" s="782">
        <f>'TAR_Tab 2_Volumina'!N68</f>
        <v>0</v>
      </c>
      <c r="D65" s="976"/>
      <c r="E65" s="1318">
        <v>0</v>
      </c>
      <c r="F65" s="1116">
        <f t="shared" si="0"/>
        <v>0</v>
      </c>
      <c r="G65" s="1116">
        <f t="shared" si="1"/>
        <v>0</v>
      </c>
      <c r="H65" s="976"/>
      <c r="I65" s="1117">
        <f t="shared" si="10"/>
        <v>0</v>
      </c>
      <c r="J65" s="1117">
        <f t="shared" si="10"/>
        <v>0</v>
      </c>
      <c r="K65" s="1320"/>
      <c r="L65" s="1000" t="str">
        <f t="shared" si="4"/>
        <v/>
      </c>
      <c r="M65" s="1118">
        <f t="shared" si="5"/>
        <v>0</v>
      </c>
      <c r="N65" s="976"/>
      <c r="O65" s="1119">
        <f t="shared" si="12"/>
        <v>0</v>
      </c>
      <c r="P65" s="1119">
        <f t="shared" si="11"/>
        <v>0</v>
      </c>
      <c r="Q65" s="1119">
        <f t="shared" si="11"/>
        <v>0</v>
      </c>
      <c r="R65" s="1119">
        <f t="shared" si="11"/>
        <v>0</v>
      </c>
      <c r="S65" s="1119">
        <f t="shared" si="11"/>
        <v>0</v>
      </c>
      <c r="T65" s="1119">
        <f t="shared" si="11"/>
        <v>0</v>
      </c>
      <c r="U65" s="1119">
        <f t="shared" si="11"/>
        <v>0</v>
      </c>
      <c r="V65" s="1119">
        <f t="shared" si="11"/>
        <v>0</v>
      </c>
      <c r="W65" s="1119">
        <f t="shared" si="11"/>
        <v>0</v>
      </c>
      <c r="X65" s="978"/>
      <c r="Y65" s="1120">
        <f t="shared" si="7"/>
        <v>0</v>
      </c>
      <c r="Z65" s="1354"/>
      <c r="AA65" s="1001">
        <v>0</v>
      </c>
      <c r="AB65" s="978"/>
      <c r="AC65" s="1036">
        <f t="shared" si="8"/>
        <v>0</v>
      </c>
      <c r="AD65" s="783">
        <f t="shared" si="9"/>
        <v>0</v>
      </c>
      <c r="AE65" s="1321"/>
      <c r="AF65" s="1322"/>
      <c r="AG65" s="740"/>
    </row>
    <row r="66" spans="1:33">
      <c r="A66" s="96">
        <v>300144</v>
      </c>
      <c r="B66" s="1286" t="s">
        <v>263</v>
      </c>
      <c r="C66" s="782">
        <f>'TAR_Tab 2_Volumina'!N69</f>
        <v>0</v>
      </c>
      <c r="D66" s="976"/>
      <c r="E66" s="1318">
        <v>0</v>
      </c>
      <c r="F66" s="1116">
        <f t="shared" si="0"/>
        <v>0</v>
      </c>
      <c r="G66" s="1116">
        <f t="shared" si="1"/>
        <v>0</v>
      </c>
      <c r="H66" s="976"/>
      <c r="I66" s="1117">
        <f t="shared" si="10"/>
        <v>0</v>
      </c>
      <c r="J66" s="1117">
        <f t="shared" si="10"/>
        <v>0</v>
      </c>
      <c r="K66" s="1320"/>
      <c r="L66" s="1000" t="str">
        <f t="shared" si="4"/>
        <v/>
      </c>
      <c r="M66" s="1118">
        <f t="shared" si="5"/>
        <v>0</v>
      </c>
      <c r="N66" s="976"/>
      <c r="O66" s="1119">
        <f t="shared" si="12"/>
        <v>0</v>
      </c>
      <c r="P66" s="1119">
        <f t="shared" si="11"/>
        <v>0</v>
      </c>
      <c r="Q66" s="1119">
        <f t="shared" si="11"/>
        <v>0</v>
      </c>
      <c r="R66" s="1119">
        <f t="shared" si="11"/>
        <v>0</v>
      </c>
      <c r="S66" s="1119">
        <f t="shared" si="11"/>
        <v>0</v>
      </c>
      <c r="T66" s="1119">
        <f t="shared" si="11"/>
        <v>0</v>
      </c>
      <c r="U66" s="1119">
        <f t="shared" si="11"/>
        <v>0</v>
      </c>
      <c r="V66" s="1119">
        <f t="shared" si="11"/>
        <v>0</v>
      </c>
      <c r="W66" s="1119">
        <f t="shared" si="11"/>
        <v>0</v>
      </c>
      <c r="X66" s="978"/>
      <c r="Y66" s="1120">
        <f t="shared" si="7"/>
        <v>0</v>
      </c>
      <c r="Z66" s="1354"/>
      <c r="AA66" s="1001">
        <v>0</v>
      </c>
      <c r="AB66" s="978"/>
      <c r="AC66" s="1036">
        <f t="shared" si="8"/>
        <v>0</v>
      </c>
      <c r="AD66" s="783">
        <f t="shared" si="9"/>
        <v>0</v>
      </c>
      <c r="AE66" s="1321"/>
      <c r="AF66" s="1322"/>
      <c r="AG66" s="740"/>
    </row>
    <row r="67" spans="1:33">
      <c r="A67" s="96">
        <v>300145</v>
      </c>
      <c r="B67" s="1286" t="s">
        <v>754</v>
      </c>
      <c r="C67" s="782">
        <f>'TAR_Tab 2_Volumina'!N70</f>
        <v>0</v>
      </c>
      <c r="D67" s="976"/>
      <c r="E67" s="1318">
        <v>0</v>
      </c>
      <c r="F67" s="1116">
        <f t="shared" si="0"/>
        <v>0</v>
      </c>
      <c r="G67" s="1116">
        <f t="shared" si="1"/>
        <v>0</v>
      </c>
      <c r="H67" s="976"/>
      <c r="I67" s="1117">
        <f t="shared" si="10"/>
        <v>0</v>
      </c>
      <c r="J67" s="1117">
        <f t="shared" si="10"/>
        <v>0</v>
      </c>
      <c r="K67" s="1320"/>
      <c r="L67" s="1000" t="str">
        <f t="shared" si="4"/>
        <v/>
      </c>
      <c r="M67" s="1118">
        <f t="shared" si="5"/>
        <v>0</v>
      </c>
      <c r="N67" s="976"/>
      <c r="O67" s="1119">
        <f t="shared" si="12"/>
        <v>0</v>
      </c>
      <c r="P67" s="1119">
        <f t="shared" si="11"/>
        <v>0</v>
      </c>
      <c r="Q67" s="1119">
        <f t="shared" si="11"/>
        <v>0</v>
      </c>
      <c r="R67" s="1119">
        <f t="shared" si="11"/>
        <v>0</v>
      </c>
      <c r="S67" s="1119">
        <f t="shared" si="11"/>
        <v>0</v>
      </c>
      <c r="T67" s="1119">
        <f t="shared" si="11"/>
        <v>0</v>
      </c>
      <c r="U67" s="1119">
        <f t="shared" si="11"/>
        <v>0</v>
      </c>
      <c r="V67" s="1119">
        <f t="shared" si="11"/>
        <v>0</v>
      </c>
      <c r="W67" s="1119">
        <f t="shared" si="11"/>
        <v>0</v>
      </c>
      <c r="X67" s="978"/>
      <c r="Y67" s="1120">
        <f t="shared" si="7"/>
        <v>0</v>
      </c>
      <c r="Z67" s="1354"/>
      <c r="AA67" s="1001">
        <v>0</v>
      </c>
      <c r="AB67" s="978"/>
      <c r="AC67" s="1036">
        <f t="shared" si="8"/>
        <v>0</v>
      </c>
      <c r="AD67" s="783">
        <f t="shared" si="9"/>
        <v>0</v>
      </c>
      <c r="AE67" s="1321"/>
      <c r="AF67" s="1322"/>
      <c r="AG67" s="740"/>
    </row>
    <row r="68" spans="1:33">
      <c r="A68" s="96">
        <v>300146</v>
      </c>
      <c r="B68" s="1286" t="s">
        <v>264</v>
      </c>
      <c r="C68" s="782">
        <f>'TAR_Tab 2_Volumina'!N71</f>
        <v>0</v>
      </c>
      <c r="D68" s="976"/>
      <c r="E68" s="1318">
        <v>0</v>
      </c>
      <c r="F68" s="1116">
        <f t="shared" si="0"/>
        <v>0</v>
      </c>
      <c r="G68" s="1116">
        <f t="shared" si="1"/>
        <v>0</v>
      </c>
      <c r="H68" s="976"/>
      <c r="I68" s="1117">
        <f t="shared" si="10"/>
        <v>0</v>
      </c>
      <c r="J68" s="1117">
        <f t="shared" si="10"/>
        <v>0</v>
      </c>
      <c r="K68" s="1320"/>
      <c r="L68" s="1000" t="str">
        <f t="shared" si="4"/>
        <v/>
      </c>
      <c r="M68" s="1118">
        <f t="shared" si="5"/>
        <v>0</v>
      </c>
      <c r="N68" s="976"/>
      <c r="O68" s="1119">
        <f t="shared" si="12"/>
        <v>0</v>
      </c>
      <c r="P68" s="1119">
        <f t="shared" si="11"/>
        <v>0</v>
      </c>
      <c r="Q68" s="1119">
        <f t="shared" si="11"/>
        <v>0</v>
      </c>
      <c r="R68" s="1119">
        <f t="shared" si="11"/>
        <v>0</v>
      </c>
      <c r="S68" s="1119">
        <f t="shared" si="11"/>
        <v>0</v>
      </c>
      <c r="T68" s="1119">
        <f t="shared" si="11"/>
        <v>0</v>
      </c>
      <c r="U68" s="1119">
        <f t="shared" si="11"/>
        <v>0</v>
      </c>
      <c r="V68" s="1119">
        <f t="shared" si="11"/>
        <v>0</v>
      </c>
      <c r="W68" s="1119">
        <f t="shared" si="11"/>
        <v>0</v>
      </c>
      <c r="X68" s="978"/>
      <c r="Y68" s="1120">
        <f t="shared" si="7"/>
        <v>0</v>
      </c>
      <c r="Z68" s="1354"/>
      <c r="AA68" s="1001">
        <v>0</v>
      </c>
      <c r="AB68" s="978"/>
      <c r="AC68" s="1036">
        <f t="shared" si="8"/>
        <v>0</v>
      </c>
      <c r="AD68" s="783">
        <f t="shared" si="9"/>
        <v>0</v>
      </c>
      <c r="AE68" s="1321"/>
      <c r="AF68" s="1322"/>
      <c r="AG68" s="740"/>
    </row>
    <row r="69" spans="1:33">
      <c r="A69" s="96">
        <v>300147</v>
      </c>
      <c r="B69" s="1286" t="s">
        <v>755</v>
      </c>
      <c r="C69" s="782">
        <f>'TAR_Tab 2_Volumina'!N72</f>
        <v>0</v>
      </c>
      <c r="D69" s="976"/>
      <c r="E69" s="1318">
        <v>0</v>
      </c>
      <c r="F69" s="1116">
        <f t="shared" si="0"/>
        <v>0</v>
      </c>
      <c r="G69" s="1116">
        <f t="shared" si="1"/>
        <v>0</v>
      </c>
      <c r="H69" s="976"/>
      <c r="I69" s="1117">
        <f t="shared" si="10"/>
        <v>0</v>
      </c>
      <c r="J69" s="1117">
        <f t="shared" si="10"/>
        <v>0</v>
      </c>
      <c r="K69" s="1320"/>
      <c r="L69" s="1000" t="str">
        <f t="shared" si="4"/>
        <v/>
      </c>
      <c r="M69" s="1118">
        <f t="shared" si="5"/>
        <v>0</v>
      </c>
      <c r="N69" s="976"/>
      <c r="O69" s="1119">
        <f t="shared" si="12"/>
        <v>0</v>
      </c>
      <c r="P69" s="1119">
        <f t="shared" si="11"/>
        <v>0</v>
      </c>
      <c r="Q69" s="1119">
        <f t="shared" si="11"/>
        <v>0</v>
      </c>
      <c r="R69" s="1119">
        <f t="shared" si="11"/>
        <v>0</v>
      </c>
      <c r="S69" s="1119">
        <f t="shared" si="11"/>
        <v>0</v>
      </c>
      <c r="T69" s="1119">
        <f t="shared" si="11"/>
        <v>0</v>
      </c>
      <c r="U69" s="1119">
        <f t="shared" si="11"/>
        <v>0</v>
      </c>
      <c r="V69" s="1119">
        <f t="shared" si="11"/>
        <v>0</v>
      </c>
      <c r="W69" s="1119">
        <f t="shared" si="11"/>
        <v>0</v>
      </c>
      <c r="X69" s="978"/>
      <c r="Y69" s="1120">
        <f t="shared" si="7"/>
        <v>0</v>
      </c>
      <c r="Z69" s="1354"/>
      <c r="AA69" s="1001">
        <v>0</v>
      </c>
      <c r="AB69" s="978"/>
      <c r="AC69" s="1036">
        <f t="shared" si="8"/>
        <v>0</v>
      </c>
      <c r="AD69" s="783">
        <f t="shared" si="9"/>
        <v>0</v>
      </c>
      <c r="AE69" s="1321"/>
      <c r="AF69" s="1322"/>
      <c r="AG69" s="740"/>
    </row>
    <row r="70" spans="1:33">
      <c r="A70" s="96">
        <v>300150</v>
      </c>
      <c r="B70" s="1286" t="s">
        <v>756</v>
      </c>
      <c r="C70" s="782">
        <f>'TAR_Tab 2_Volumina'!N73</f>
        <v>0</v>
      </c>
      <c r="D70" s="976"/>
      <c r="E70" s="1318">
        <v>0</v>
      </c>
      <c r="F70" s="1116">
        <f t="shared" si="0"/>
        <v>0</v>
      </c>
      <c r="G70" s="1116">
        <f t="shared" si="1"/>
        <v>0</v>
      </c>
      <c r="H70" s="976"/>
      <c r="I70" s="1117">
        <f t="shared" si="10"/>
        <v>0</v>
      </c>
      <c r="J70" s="1117">
        <f t="shared" si="10"/>
        <v>0</v>
      </c>
      <c r="K70" s="1320"/>
      <c r="L70" s="1000" t="str">
        <f t="shared" si="4"/>
        <v/>
      </c>
      <c r="M70" s="1118">
        <f t="shared" si="5"/>
        <v>0</v>
      </c>
      <c r="N70" s="976"/>
      <c r="O70" s="1119">
        <f t="shared" si="12"/>
        <v>0</v>
      </c>
      <c r="P70" s="1119">
        <f t="shared" si="11"/>
        <v>0</v>
      </c>
      <c r="Q70" s="1119">
        <f t="shared" si="11"/>
        <v>0</v>
      </c>
      <c r="R70" s="1119">
        <f t="shared" si="11"/>
        <v>0</v>
      </c>
      <c r="S70" s="1119">
        <f t="shared" si="11"/>
        <v>0</v>
      </c>
      <c r="T70" s="1119">
        <f t="shared" si="11"/>
        <v>0</v>
      </c>
      <c r="U70" s="1119">
        <f t="shared" si="11"/>
        <v>0</v>
      </c>
      <c r="V70" s="1119">
        <f t="shared" si="11"/>
        <v>0</v>
      </c>
      <c r="W70" s="1119">
        <f t="shared" si="11"/>
        <v>0</v>
      </c>
      <c r="X70" s="978"/>
      <c r="Y70" s="1120">
        <f t="shared" si="7"/>
        <v>0</v>
      </c>
      <c r="Z70" s="1354"/>
      <c r="AA70" s="1001">
        <v>0</v>
      </c>
      <c r="AB70" s="978"/>
      <c r="AC70" s="1036">
        <f t="shared" si="8"/>
        <v>0</v>
      </c>
      <c r="AD70" s="783">
        <f t="shared" si="9"/>
        <v>0</v>
      </c>
      <c r="AE70" s="1321"/>
      <c r="AF70" s="1322"/>
      <c r="AG70" s="740"/>
    </row>
    <row r="71" spans="1:33">
      <c r="A71" s="96">
        <v>300151</v>
      </c>
      <c r="B71" s="1286" t="s">
        <v>757</v>
      </c>
      <c r="C71" s="782">
        <f>'TAR_Tab 2_Volumina'!N74</f>
        <v>0</v>
      </c>
      <c r="D71" s="976"/>
      <c r="E71" s="1318">
        <v>0</v>
      </c>
      <c r="F71" s="1116">
        <f t="shared" ref="F71:F134" si="13">E71*$F$5*C71</f>
        <v>0</v>
      </c>
      <c r="G71" s="1116">
        <f t="shared" ref="G71:G134" si="14">F71*$G$5</f>
        <v>0</v>
      </c>
      <c r="H71" s="976"/>
      <c r="I71" s="1117">
        <f t="shared" si="10"/>
        <v>0</v>
      </c>
      <c r="J71" s="1117">
        <f t="shared" si="10"/>
        <v>0</v>
      </c>
      <c r="K71" s="1320"/>
      <c r="L71" s="1000" t="str">
        <f t="shared" si="4"/>
        <v/>
      </c>
      <c r="M71" s="1118">
        <f t="shared" si="5"/>
        <v>0</v>
      </c>
      <c r="N71" s="976"/>
      <c r="O71" s="1119">
        <f t="shared" si="12"/>
        <v>0</v>
      </c>
      <c r="P71" s="1119">
        <f t="shared" si="11"/>
        <v>0</v>
      </c>
      <c r="Q71" s="1119">
        <f t="shared" si="11"/>
        <v>0</v>
      </c>
      <c r="R71" s="1119">
        <f t="shared" si="11"/>
        <v>0</v>
      </c>
      <c r="S71" s="1119">
        <f t="shared" si="11"/>
        <v>0</v>
      </c>
      <c r="T71" s="1119">
        <f t="shared" si="11"/>
        <v>0</v>
      </c>
      <c r="U71" s="1119">
        <f t="shared" si="11"/>
        <v>0</v>
      </c>
      <c r="V71" s="1119">
        <f t="shared" si="11"/>
        <v>0</v>
      </c>
      <c r="W71" s="1119">
        <f t="shared" si="11"/>
        <v>0</v>
      </c>
      <c r="X71" s="978"/>
      <c r="Y71" s="1120">
        <f t="shared" si="7"/>
        <v>0</v>
      </c>
      <c r="Z71" s="1354"/>
      <c r="AA71" s="1001">
        <v>0</v>
      </c>
      <c r="AB71" s="978"/>
      <c r="AC71" s="1036">
        <f t="shared" si="8"/>
        <v>0</v>
      </c>
      <c r="AD71" s="783">
        <f t="shared" si="9"/>
        <v>0</v>
      </c>
      <c r="AE71" s="1321"/>
      <c r="AF71" s="1322"/>
      <c r="AG71" s="740"/>
    </row>
    <row r="72" spans="1:33">
      <c r="A72" s="96">
        <v>300153</v>
      </c>
      <c r="B72" s="1286" t="s">
        <v>68</v>
      </c>
      <c r="C72" s="782">
        <f>'TAR_Tab 2_Volumina'!N75</f>
        <v>0</v>
      </c>
      <c r="D72" s="976"/>
      <c r="E72" s="1318">
        <v>0</v>
      </c>
      <c r="F72" s="1116">
        <f t="shared" si="13"/>
        <v>0</v>
      </c>
      <c r="G72" s="1116">
        <f t="shared" si="14"/>
        <v>0</v>
      </c>
      <c r="H72" s="976"/>
      <c r="I72" s="1117">
        <f t="shared" si="10"/>
        <v>0</v>
      </c>
      <c r="J72" s="1117">
        <f t="shared" si="10"/>
        <v>0</v>
      </c>
      <c r="K72" s="1320"/>
      <c r="L72" s="1000" t="str">
        <f t="shared" ref="L72:L135" si="15">IF(K72&gt;0,AND(K72&gt;=I72,K72&lt;=J72),"")</f>
        <v/>
      </c>
      <c r="M72" s="1118">
        <f t="shared" ref="M72:M135" si="16">IF(K72&gt;0,K72,G72)</f>
        <v>0</v>
      </c>
      <c r="N72" s="976"/>
      <c r="O72" s="1119">
        <f t="shared" si="12"/>
        <v>0</v>
      </c>
      <c r="P72" s="1119">
        <f t="shared" si="11"/>
        <v>0</v>
      </c>
      <c r="Q72" s="1119">
        <f t="shared" si="11"/>
        <v>0</v>
      </c>
      <c r="R72" s="1119">
        <f t="shared" si="11"/>
        <v>0</v>
      </c>
      <c r="S72" s="1119">
        <f t="shared" si="11"/>
        <v>0</v>
      </c>
      <c r="T72" s="1119">
        <f t="shared" si="11"/>
        <v>0</v>
      </c>
      <c r="U72" s="1119">
        <f t="shared" si="11"/>
        <v>0</v>
      </c>
      <c r="V72" s="1119">
        <f t="shared" si="11"/>
        <v>0</v>
      </c>
      <c r="W72" s="1119">
        <f t="shared" si="11"/>
        <v>0</v>
      </c>
      <c r="X72" s="978"/>
      <c r="Y72" s="1120">
        <f t="shared" ref="Y72:Y135" si="17">M72+SUM(O72:W72)</f>
        <v>0</v>
      </c>
      <c r="Z72" s="1354"/>
      <c r="AA72" s="1001">
        <v>0</v>
      </c>
      <c r="AB72" s="978"/>
      <c r="AC72" s="1036">
        <f t="shared" ref="AC72:AC135" si="18">AA72</f>
        <v>0</v>
      </c>
      <c r="AD72" s="783">
        <f t="shared" ref="AD72:AD135" si="19">ROUND(AC72,3)</f>
        <v>0</v>
      </c>
      <c r="AE72" s="1321"/>
      <c r="AF72" s="1322"/>
      <c r="AG72" s="740"/>
    </row>
    <row r="73" spans="1:33">
      <c r="A73" s="96">
        <v>300161</v>
      </c>
      <c r="B73" s="1286" t="s">
        <v>265</v>
      </c>
      <c r="C73" s="782">
        <f>'TAR_Tab 2_Volumina'!N76</f>
        <v>1</v>
      </c>
      <c r="D73" s="976"/>
      <c r="E73" s="1318">
        <v>125027.09733977813</v>
      </c>
      <c r="F73" s="1116">
        <f t="shared" si="13"/>
        <v>118975.78582853287</v>
      </c>
      <c r="G73" s="1116">
        <f t="shared" si="14"/>
        <v>121756.3695757004</v>
      </c>
      <c r="H73" s="976"/>
      <c r="I73" s="1117">
        <f t="shared" si="10"/>
        <v>115668.55109691538</v>
      </c>
      <c r="J73" s="1117">
        <f t="shared" si="10"/>
        <v>127844.18805448542</v>
      </c>
      <c r="K73" s="1320"/>
      <c r="L73" s="1000" t="str">
        <f t="shared" si="15"/>
        <v/>
      </c>
      <c r="M73" s="1118">
        <f t="shared" si="16"/>
        <v>121756.3695757004</v>
      </c>
      <c r="N73" s="976"/>
      <c r="O73" s="1119">
        <f t="shared" si="12"/>
        <v>-5646.7997236132696</v>
      </c>
      <c r="P73" s="1119">
        <f t="shared" si="11"/>
        <v>5842.9330431368307</v>
      </c>
      <c r="Q73" s="1119">
        <f t="shared" si="11"/>
        <v>0</v>
      </c>
      <c r="R73" s="1119">
        <f t="shared" si="11"/>
        <v>220.11790679212581</v>
      </c>
      <c r="S73" s="1119">
        <f t="shared" si="11"/>
        <v>5097.8889376389779</v>
      </c>
      <c r="T73" s="1119">
        <f t="shared" si="11"/>
        <v>-667.16376052539624</v>
      </c>
      <c r="U73" s="1119">
        <f t="shared" si="11"/>
        <v>-25.099453945850289</v>
      </c>
      <c r="V73" s="1119">
        <f t="shared" si="11"/>
        <v>-2075.2848041670391</v>
      </c>
      <c r="W73" s="1119">
        <f t="shared" si="11"/>
        <v>163.74710037255161</v>
      </c>
      <c r="X73" s="978"/>
      <c r="Y73" s="1120">
        <f t="shared" si="17"/>
        <v>124666.70882138933</v>
      </c>
      <c r="Z73" s="1354"/>
      <c r="AA73" s="1001">
        <v>0.17723858089481145</v>
      </c>
      <c r="AB73" s="978"/>
      <c r="AC73" s="1036">
        <f t="shared" si="18"/>
        <v>0.17723858089481145</v>
      </c>
      <c r="AD73" s="783">
        <f t="shared" si="19"/>
        <v>0.17699999999999999</v>
      </c>
      <c r="AE73" s="1321"/>
      <c r="AF73" s="1322"/>
      <c r="AG73" s="740"/>
    </row>
    <row r="74" spans="1:33">
      <c r="A74" s="96">
        <v>300162</v>
      </c>
      <c r="B74" s="1286" t="s">
        <v>266</v>
      </c>
      <c r="C74" s="782">
        <f>'TAR_Tab 2_Volumina'!N77</f>
        <v>1</v>
      </c>
      <c r="D74" s="976"/>
      <c r="E74" s="1318">
        <v>53583.041717047774</v>
      </c>
      <c r="F74" s="1116">
        <f t="shared" si="13"/>
        <v>50989.622497942662</v>
      </c>
      <c r="G74" s="1116">
        <f t="shared" si="14"/>
        <v>52181.301246728748</v>
      </c>
      <c r="H74" s="976"/>
      <c r="I74" s="1117">
        <f t="shared" si="10"/>
        <v>49572.236184392306</v>
      </c>
      <c r="J74" s="1117">
        <f t="shared" si="10"/>
        <v>54790.36630906519</v>
      </c>
      <c r="K74" s="1320"/>
      <c r="L74" s="1000" t="str">
        <f t="shared" si="15"/>
        <v/>
      </c>
      <c r="M74" s="1118">
        <f t="shared" si="16"/>
        <v>52181.301246728748</v>
      </c>
      <c r="N74" s="976"/>
      <c r="O74" s="1119">
        <f t="shared" si="12"/>
        <v>-2420.0570244056871</v>
      </c>
      <c r="P74" s="1119">
        <f t="shared" si="11"/>
        <v>2504.114161344356</v>
      </c>
      <c r="Q74" s="1119">
        <f t="shared" si="11"/>
        <v>0</v>
      </c>
      <c r="R74" s="1119">
        <f t="shared" si="11"/>
        <v>94.336245768053928</v>
      </c>
      <c r="S74" s="1119">
        <f t="shared" si="11"/>
        <v>2184.8095447024193</v>
      </c>
      <c r="T74" s="1119">
        <f t="shared" si="11"/>
        <v>-285.92732593945556</v>
      </c>
      <c r="U74" s="1119">
        <f t="shared" si="11"/>
        <v>-10.756908833935839</v>
      </c>
      <c r="V74" s="1119">
        <f t="shared" si="11"/>
        <v>-889.40777321444534</v>
      </c>
      <c r="W74" s="1119">
        <f t="shared" si="11"/>
        <v>70.177328731093553</v>
      </c>
      <c r="X74" s="978"/>
      <c r="Y74" s="1120">
        <f t="shared" si="17"/>
        <v>53428.589494881147</v>
      </c>
      <c r="Z74" s="1354"/>
      <c r="AA74" s="1001">
        <v>8.6398222618488077E-2</v>
      </c>
      <c r="AB74" s="978"/>
      <c r="AC74" s="1036">
        <f t="shared" si="18"/>
        <v>8.6398222618488077E-2</v>
      </c>
      <c r="AD74" s="783">
        <f t="shared" si="19"/>
        <v>8.5999999999999993E-2</v>
      </c>
      <c r="AE74" s="1321"/>
      <c r="AF74" s="1322"/>
      <c r="AG74" s="740"/>
    </row>
    <row r="75" spans="1:33">
      <c r="A75" s="96">
        <v>300163</v>
      </c>
      <c r="B75" s="1286" t="s">
        <v>69</v>
      </c>
      <c r="C75" s="782">
        <f>'TAR_Tab 2_Volumina'!N78</f>
        <v>1</v>
      </c>
      <c r="D75" s="976"/>
      <c r="E75" s="1318">
        <v>17861.01390568259</v>
      </c>
      <c r="F75" s="1116">
        <f t="shared" si="13"/>
        <v>16996.540832647552</v>
      </c>
      <c r="G75" s="1116">
        <f t="shared" si="14"/>
        <v>17393.767082242914</v>
      </c>
      <c r="H75" s="976"/>
      <c r="I75" s="1117">
        <f t="shared" si="10"/>
        <v>16524.078728130768</v>
      </c>
      <c r="J75" s="1117">
        <f t="shared" si="10"/>
        <v>18263.45543635506</v>
      </c>
      <c r="K75" s="1320"/>
      <c r="L75" s="1000" t="str">
        <f t="shared" si="15"/>
        <v/>
      </c>
      <c r="M75" s="1118">
        <f t="shared" si="16"/>
        <v>17393.767082242914</v>
      </c>
      <c r="N75" s="976"/>
      <c r="O75" s="1119">
        <f t="shared" si="12"/>
        <v>-806.68567480189563</v>
      </c>
      <c r="P75" s="1119">
        <f t="shared" si="11"/>
        <v>834.70472044811856</v>
      </c>
      <c r="Q75" s="1119">
        <f t="shared" si="11"/>
        <v>0</v>
      </c>
      <c r="R75" s="1119">
        <f t="shared" si="11"/>
        <v>31.44541525601797</v>
      </c>
      <c r="S75" s="1119">
        <f t="shared" si="11"/>
        <v>728.26984823413966</v>
      </c>
      <c r="T75" s="1119">
        <f t="shared" si="11"/>
        <v>-95.309108646485171</v>
      </c>
      <c r="U75" s="1119">
        <f t="shared" si="11"/>
        <v>-3.5856362779786122</v>
      </c>
      <c r="V75" s="1119">
        <f t="shared" si="11"/>
        <v>-296.46925773814843</v>
      </c>
      <c r="W75" s="1119">
        <f t="shared" si="11"/>
        <v>23.392442910364515</v>
      </c>
      <c r="X75" s="978"/>
      <c r="Y75" s="1120">
        <f t="shared" si="17"/>
        <v>17809.529831627045</v>
      </c>
      <c r="Z75" s="1354"/>
      <c r="AA75" s="1001">
        <v>0.47610169309181621</v>
      </c>
      <c r="AB75" s="978"/>
      <c r="AC75" s="1036">
        <f t="shared" si="18"/>
        <v>0.47610169309181621</v>
      </c>
      <c r="AD75" s="783">
        <f t="shared" si="19"/>
        <v>0.47599999999999998</v>
      </c>
      <c r="AE75" s="1321"/>
      <c r="AF75" s="1322"/>
      <c r="AG75" s="740"/>
    </row>
    <row r="76" spans="1:33">
      <c r="A76" s="96">
        <v>300164</v>
      </c>
      <c r="B76" s="1286" t="s">
        <v>267</v>
      </c>
      <c r="C76" s="782">
        <f>'TAR_Tab 2_Volumina'!N79</f>
        <v>1</v>
      </c>
      <c r="D76" s="976"/>
      <c r="E76" s="1318">
        <v>35722.02781136518</v>
      </c>
      <c r="F76" s="1116">
        <f t="shared" si="13"/>
        <v>33993.081665295103</v>
      </c>
      <c r="G76" s="1116">
        <f t="shared" si="14"/>
        <v>34787.534164485827</v>
      </c>
      <c r="H76" s="976"/>
      <c r="I76" s="1117">
        <f t="shared" si="10"/>
        <v>33048.157456261535</v>
      </c>
      <c r="J76" s="1117">
        <f t="shared" si="10"/>
        <v>36526.910872710119</v>
      </c>
      <c r="K76" s="1320"/>
      <c r="L76" s="1000" t="str">
        <f t="shared" si="15"/>
        <v/>
      </c>
      <c r="M76" s="1118">
        <f t="shared" si="16"/>
        <v>34787.534164485827</v>
      </c>
      <c r="N76" s="976"/>
      <c r="O76" s="1119">
        <f t="shared" si="12"/>
        <v>-1613.3713496037913</v>
      </c>
      <c r="P76" s="1119">
        <f t="shared" si="11"/>
        <v>1669.4094408962371</v>
      </c>
      <c r="Q76" s="1119">
        <f t="shared" si="11"/>
        <v>0</v>
      </c>
      <c r="R76" s="1119">
        <f t="shared" si="11"/>
        <v>62.89083051203594</v>
      </c>
      <c r="S76" s="1119">
        <f t="shared" si="11"/>
        <v>1456.5396964682793</v>
      </c>
      <c r="T76" s="1119">
        <f t="shared" si="11"/>
        <v>-190.61821729297034</v>
      </c>
      <c r="U76" s="1119">
        <f t="shared" si="11"/>
        <v>-7.1712725559572243</v>
      </c>
      <c r="V76" s="1119">
        <f t="shared" si="11"/>
        <v>-592.93851547629686</v>
      </c>
      <c r="W76" s="1119">
        <f t="shared" si="11"/>
        <v>46.784885820729031</v>
      </c>
      <c r="X76" s="978"/>
      <c r="Y76" s="1120">
        <f t="shared" si="17"/>
        <v>35619.059663254091</v>
      </c>
      <c r="Z76" s="1354"/>
      <c r="AA76" s="1001">
        <v>0.23120250361629241</v>
      </c>
      <c r="AB76" s="978"/>
      <c r="AC76" s="1036">
        <f t="shared" si="18"/>
        <v>0.23120250361629241</v>
      </c>
      <c r="AD76" s="783">
        <f t="shared" si="19"/>
        <v>0.23100000000000001</v>
      </c>
      <c r="AE76" s="1321"/>
      <c r="AF76" s="1322"/>
      <c r="AG76" s="740"/>
    </row>
    <row r="77" spans="1:33">
      <c r="A77" s="96">
        <v>300167</v>
      </c>
      <c r="B77" s="1286" t="s">
        <v>70</v>
      </c>
      <c r="C77" s="782">
        <f>'TAR_Tab 2_Volumina'!N80</f>
        <v>0</v>
      </c>
      <c r="D77" s="976"/>
      <c r="E77" s="1318">
        <v>0</v>
      </c>
      <c r="F77" s="1116">
        <f t="shared" si="13"/>
        <v>0</v>
      </c>
      <c r="G77" s="1116">
        <f t="shared" si="14"/>
        <v>0</v>
      </c>
      <c r="H77" s="976"/>
      <c r="I77" s="1117">
        <f t="shared" ref="I77:J140" si="20">$G77*I$5</f>
        <v>0</v>
      </c>
      <c r="J77" s="1117">
        <f t="shared" si="20"/>
        <v>0</v>
      </c>
      <c r="K77" s="1320"/>
      <c r="L77" s="1000" t="str">
        <f t="shared" si="15"/>
        <v/>
      </c>
      <c r="M77" s="1118">
        <f t="shared" si="16"/>
        <v>0</v>
      </c>
      <c r="N77" s="976"/>
      <c r="O77" s="1119">
        <f t="shared" si="12"/>
        <v>0</v>
      </c>
      <c r="P77" s="1119">
        <f t="shared" si="11"/>
        <v>0</v>
      </c>
      <c r="Q77" s="1119">
        <f t="shared" si="11"/>
        <v>0</v>
      </c>
      <c r="R77" s="1119">
        <f t="shared" si="11"/>
        <v>0</v>
      </c>
      <c r="S77" s="1119">
        <f t="shared" si="11"/>
        <v>0</v>
      </c>
      <c r="T77" s="1119">
        <f t="shared" si="11"/>
        <v>0</v>
      </c>
      <c r="U77" s="1119">
        <f t="shared" si="11"/>
        <v>0</v>
      </c>
      <c r="V77" s="1119">
        <f t="shared" si="11"/>
        <v>0</v>
      </c>
      <c r="W77" s="1119">
        <f t="shared" si="11"/>
        <v>0</v>
      </c>
      <c r="X77" s="978"/>
      <c r="Y77" s="1120">
        <f t="shared" si="17"/>
        <v>0</v>
      </c>
      <c r="Z77" s="1354"/>
      <c r="AA77" s="1001">
        <v>0</v>
      </c>
      <c r="AB77" s="978"/>
      <c r="AC77" s="1036">
        <f t="shared" si="18"/>
        <v>0</v>
      </c>
      <c r="AD77" s="783">
        <f t="shared" si="19"/>
        <v>0</v>
      </c>
      <c r="AE77" s="1321"/>
      <c r="AF77" s="1322"/>
      <c r="AG77" s="740"/>
    </row>
    <row r="78" spans="1:33">
      <c r="A78" s="96">
        <v>300168</v>
      </c>
      <c r="B78" s="1286" t="s">
        <v>268</v>
      </c>
      <c r="C78" s="782">
        <f>'TAR_Tab 2_Volumina'!N81</f>
        <v>1</v>
      </c>
      <c r="D78" s="976"/>
      <c r="E78" s="1318">
        <v>178610.13905682589</v>
      </c>
      <c r="F78" s="1116">
        <f t="shared" si="13"/>
        <v>169965.40832647553</v>
      </c>
      <c r="G78" s="1116">
        <f t="shared" si="14"/>
        <v>173937.67082242915</v>
      </c>
      <c r="H78" s="976"/>
      <c r="I78" s="1117">
        <f t="shared" si="20"/>
        <v>165240.78728130768</v>
      </c>
      <c r="J78" s="1117">
        <f t="shared" si="20"/>
        <v>182634.55436355062</v>
      </c>
      <c r="K78" s="1320"/>
      <c r="L78" s="1000" t="str">
        <f t="shared" si="15"/>
        <v/>
      </c>
      <c r="M78" s="1118">
        <f t="shared" si="16"/>
        <v>173937.67082242915</v>
      </c>
      <c r="N78" s="976"/>
      <c r="O78" s="1119">
        <f t="shared" si="12"/>
        <v>-8066.8567480189568</v>
      </c>
      <c r="P78" s="1119">
        <f t="shared" si="11"/>
        <v>8347.0472044811868</v>
      </c>
      <c r="Q78" s="1119">
        <f t="shared" si="11"/>
        <v>0</v>
      </c>
      <c r="R78" s="1119">
        <f t="shared" si="11"/>
        <v>314.45415256017975</v>
      </c>
      <c r="S78" s="1119">
        <f t="shared" si="11"/>
        <v>7282.6984823413968</v>
      </c>
      <c r="T78" s="1119">
        <f t="shared" si="11"/>
        <v>-953.09108646485174</v>
      </c>
      <c r="U78" s="1119">
        <f t="shared" si="11"/>
        <v>-35.856362779786124</v>
      </c>
      <c r="V78" s="1119">
        <f t="shared" si="11"/>
        <v>-2964.6925773814842</v>
      </c>
      <c r="W78" s="1119">
        <f t="shared" si="11"/>
        <v>233.92442910364517</v>
      </c>
      <c r="X78" s="978"/>
      <c r="Y78" s="1120">
        <f t="shared" si="17"/>
        <v>178095.29831627049</v>
      </c>
      <c r="Z78" s="1354"/>
      <c r="AA78" s="1001">
        <v>0.2314727505906865</v>
      </c>
      <c r="AB78" s="978"/>
      <c r="AC78" s="1036">
        <f t="shared" si="18"/>
        <v>0.2314727505906865</v>
      </c>
      <c r="AD78" s="783">
        <f t="shared" si="19"/>
        <v>0.23100000000000001</v>
      </c>
      <c r="AE78" s="1321"/>
      <c r="AF78" s="1322"/>
      <c r="AG78" s="740"/>
    </row>
    <row r="79" spans="1:33">
      <c r="A79" s="96">
        <v>300171</v>
      </c>
      <c r="B79" s="1286" t="s">
        <v>71</v>
      </c>
      <c r="C79" s="782">
        <f>'TAR_Tab 2_Volumina'!N82</f>
        <v>0</v>
      </c>
      <c r="D79" s="976"/>
      <c r="E79" s="1318">
        <v>0</v>
      </c>
      <c r="F79" s="1116">
        <f t="shared" si="13"/>
        <v>0</v>
      </c>
      <c r="G79" s="1116">
        <f t="shared" si="14"/>
        <v>0</v>
      </c>
      <c r="H79" s="976"/>
      <c r="I79" s="1117">
        <f t="shared" si="20"/>
        <v>0</v>
      </c>
      <c r="J79" s="1117">
        <f t="shared" si="20"/>
        <v>0</v>
      </c>
      <c r="K79" s="1320"/>
      <c r="L79" s="1000" t="str">
        <f t="shared" si="15"/>
        <v/>
      </c>
      <c r="M79" s="1118">
        <f t="shared" si="16"/>
        <v>0</v>
      </c>
      <c r="N79" s="976"/>
      <c r="O79" s="1119">
        <f t="shared" si="12"/>
        <v>0</v>
      </c>
      <c r="P79" s="1119">
        <f t="shared" si="11"/>
        <v>0</v>
      </c>
      <c r="Q79" s="1119">
        <f t="shared" si="11"/>
        <v>0</v>
      </c>
      <c r="R79" s="1119">
        <f t="shared" si="11"/>
        <v>0</v>
      </c>
      <c r="S79" s="1119">
        <f t="shared" si="11"/>
        <v>0</v>
      </c>
      <c r="T79" s="1119">
        <f t="shared" si="11"/>
        <v>0</v>
      </c>
      <c r="U79" s="1119">
        <f t="shared" si="11"/>
        <v>0</v>
      </c>
      <c r="V79" s="1119">
        <f t="shared" si="11"/>
        <v>0</v>
      </c>
      <c r="W79" s="1119">
        <f t="shared" si="11"/>
        <v>0</v>
      </c>
      <c r="X79" s="978"/>
      <c r="Y79" s="1120">
        <f t="shared" si="17"/>
        <v>0</v>
      </c>
      <c r="Z79" s="1354"/>
      <c r="AA79" s="1001">
        <v>0</v>
      </c>
      <c r="AB79" s="978"/>
      <c r="AC79" s="1036">
        <f t="shared" si="18"/>
        <v>0</v>
      </c>
      <c r="AD79" s="783">
        <f t="shared" si="19"/>
        <v>0</v>
      </c>
      <c r="AE79" s="1321"/>
      <c r="AF79" s="1322"/>
      <c r="AG79" s="740"/>
    </row>
    <row r="80" spans="1:33">
      <c r="A80" s="96">
        <v>300178</v>
      </c>
      <c r="B80" s="1286" t="s">
        <v>72</v>
      </c>
      <c r="C80" s="782">
        <f>'TAR_Tab 2_Volumina'!N83</f>
        <v>1</v>
      </c>
      <c r="D80" s="976"/>
      <c r="E80" s="1318">
        <v>17861.01390568259</v>
      </c>
      <c r="F80" s="1116">
        <f t="shared" si="13"/>
        <v>16996.540832647552</v>
      </c>
      <c r="G80" s="1116">
        <f t="shared" si="14"/>
        <v>17393.767082242914</v>
      </c>
      <c r="H80" s="976"/>
      <c r="I80" s="1117">
        <f t="shared" si="20"/>
        <v>16524.078728130768</v>
      </c>
      <c r="J80" s="1117">
        <f t="shared" si="20"/>
        <v>18263.45543635506</v>
      </c>
      <c r="K80" s="1320"/>
      <c r="L80" s="1000" t="str">
        <f t="shared" si="15"/>
        <v/>
      </c>
      <c r="M80" s="1118">
        <f t="shared" si="16"/>
        <v>17393.767082242914</v>
      </c>
      <c r="N80" s="976"/>
      <c r="O80" s="1119">
        <f t="shared" si="12"/>
        <v>-806.68567480189563</v>
      </c>
      <c r="P80" s="1119">
        <f t="shared" si="11"/>
        <v>834.70472044811856</v>
      </c>
      <c r="Q80" s="1119">
        <f t="shared" si="11"/>
        <v>0</v>
      </c>
      <c r="R80" s="1119">
        <f t="shared" si="11"/>
        <v>31.44541525601797</v>
      </c>
      <c r="S80" s="1119">
        <f t="shared" si="11"/>
        <v>728.26984823413966</v>
      </c>
      <c r="T80" s="1119">
        <f t="shared" si="11"/>
        <v>-95.309108646485171</v>
      </c>
      <c r="U80" s="1119">
        <f t="shared" si="11"/>
        <v>-3.5856362779786122</v>
      </c>
      <c r="V80" s="1119">
        <f t="shared" si="11"/>
        <v>-296.46925773814843</v>
      </c>
      <c r="W80" s="1119">
        <f t="shared" si="11"/>
        <v>23.392442910364515</v>
      </c>
      <c r="X80" s="978"/>
      <c r="Y80" s="1120">
        <f t="shared" si="17"/>
        <v>17809.529831627045</v>
      </c>
      <c r="Z80" s="1354"/>
      <c r="AA80" s="1001">
        <v>9.8543753879604623E-2</v>
      </c>
      <c r="AB80" s="978"/>
      <c r="AC80" s="1036">
        <f t="shared" si="18"/>
        <v>9.8543753879604623E-2</v>
      </c>
      <c r="AD80" s="783">
        <f t="shared" si="19"/>
        <v>9.9000000000000005E-2</v>
      </c>
      <c r="AE80" s="1321"/>
      <c r="AF80" s="1322"/>
      <c r="AG80" s="740"/>
    </row>
    <row r="81" spans="1:33">
      <c r="A81" s="96">
        <v>300179</v>
      </c>
      <c r="B81" s="1286" t="s">
        <v>73</v>
      </c>
      <c r="C81" s="782">
        <f>'TAR_Tab 2_Volumina'!N84</f>
        <v>0</v>
      </c>
      <c r="D81" s="976"/>
      <c r="E81" s="1318">
        <v>0</v>
      </c>
      <c r="F81" s="1116">
        <f t="shared" si="13"/>
        <v>0</v>
      </c>
      <c r="G81" s="1116">
        <f t="shared" si="14"/>
        <v>0</v>
      </c>
      <c r="H81" s="976"/>
      <c r="I81" s="1117">
        <f t="shared" si="20"/>
        <v>0</v>
      </c>
      <c r="J81" s="1117">
        <f t="shared" si="20"/>
        <v>0</v>
      </c>
      <c r="K81" s="1320"/>
      <c r="L81" s="1000" t="str">
        <f t="shared" si="15"/>
        <v/>
      </c>
      <c r="M81" s="1118">
        <f t="shared" si="16"/>
        <v>0</v>
      </c>
      <c r="N81" s="976"/>
      <c r="O81" s="1119">
        <f t="shared" si="12"/>
        <v>0</v>
      </c>
      <c r="P81" s="1119">
        <f t="shared" si="11"/>
        <v>0</v>
      </c>
      <c r="Q81" s="1119">
        <f t="shared" si="11"/>
        <v>0</v>
      </c>
      <c r="R81" s="1119">
        <f t="shared" si="11"/>
        <v>0</v>
      </c>
      <c r="S81" s="1119">
        <f t="shared" si="11"/>
        <v>0</v>
      </c>
      <c r="T81" s="1119">
        <f t="shared" ref="P81:W113" si="21">$M81*T$5</f>
        <v>0</v>
      </c>
      <c r="U81" s="1119">
        <f t="shared" si="21"/>
        <v>0</v>
      </c>
      <c r="V81" s="1119">
        <f t="shared" si="21"/>
        <v>0</v>
      </c>
      <c r="W81" s="1119">
        <f t="shared" si="21"/>
        <v>0</v>
      </c>
      <c r="X81" s="978"/>
      <c r="Y81" s="1120">
        <f t="shared" si="17"/>
        <v>0</v>
      </c>
      <c r="Z81" s="1354"/>
      <c r="AA81" s="1001">
        <v>0</v>
      </c>
      <c r="AB81" s="978"/>
      <c r="AC81" s="1036">
        <f t="shared" si="18"/>
        <v>0</v>
      </c>
      <c r="AD81" s="783">
        <f t="shared" si="19"/>
        <v>0</v>
      </c>
      <c r="AE81" s="1321"/>
      <c r="AF81" s="1322"/>
      <c r="AG81" s="740"/>
    </row>
    <row r="82" spans="1:33">
      <c r="A82" s="96">
        <v>300183</v>
      </c>
      <c r="B82" s="1286" t="s">
        <v>29</v>
      </c>
      <c r="C82" s="782">
        <f>'TAR_Tab 2_Volumina'!N85</f>
        <v>0</v>
      </c>
      <c r="D82" s="976"/>
      <c r="E82" s="1318">
        <v>0</v>
      </c>
      <c r="F82" s="1116">
        <f t="shared" si="13"/>
        <v>0</v>
      </c>
      <c r="G82" s="1116">
        <f t="shared" si="14"/>
        <v>0</v>
      </c>
      <c r="H82" s="976"/>
      <c r="I82" s="1117">
        <f t="shared" si="20"/>
        <v>0</v>
      </c>
      <c r="J82" s="1117">
        <f t="shared" si="20"/>
        <v>0</v>
      </c>
      <c r="K82" s="1320"/>
      <c r="L82" s="1000" t="str">
        <f t="shared" si="15"/>
        <v/>
      </c>
      <c r="M82" s="1118">
        <f t="shared" si="16"/>
        <v>0</v>
      </c>
      <c r="N82" s="976"/>
      <c r="O82" s="1119">
        <f t="shared" si="12"/>
        <v>0</v>
      </c>
      <c r="P82" s="1119">
        <f t="shared" si="21"/>
        <v>0</v>
      </c>
      <c r="Q82" s="1119">
        <f t="shared" si="21"/>
        <v>0</v>
      </c>
      <c r="R82" s="1119">
        <f t="shared" si="21"/>
        <v>0</v>
      </c>
      <c r="S82" s="1119">
        <f t="shared" si="21"/>
        <v>0</v>
      </c>
      <c r="T82" s="1119">
        <f t="shared" si="21"/>
        <v>0</v>
      </c>
      <c r="U82" s="1119">
        <f t="shared" si="21"/>
        <v>0</v>
      </c>
      <c r="V82" s="1119">
        <f t="shared" si="21"/>
        <v>0</v>
      </c>
      <c r="W82" s="1119">
        <f t="shared" si="21"/>
        <v>0</v>
      </c>
      <c r="X82" s="978"/>
      <c r="Y82" s="1120">
        <f t="shared" si="17"/>
        <v>0</v>
      </c>
      <c r="Z82" s="1354"/>
      <c r="AA82" s="1001">
        <v>0</v>
      </c>
      <c r="AB82" s="978"/>
      <c r="AC82" s="1036">
        <f t="shared" si="18"/>
        <v>0</v>
      </c>
      <c r="AD82" s="783">
        <f t="shared" si="19"/>
        <v>0</v>
      </c>
      <c r="AE82" s="1321"/>
      <c r="AF82" s="1322"/>
      <c r="AG82" s="740"/>
    </row>
    <row r="83" spans="1:33">
      <c r="A83" s="96">
        <v>300189</v>
      </c>
      <c r="B83" s="1286" t="s">
        <v>74</v>
      </c>
      <c r="C83" s="782">
        <f>'TAR_Tab 2_Volumina'!N86</f>
        <v>0</v>
      </c>
      <c r="D83" s="976"/>
      <c r="E83" s="1318">
        <v>0</v>
      </c>
      <c r="F83" s="1116">
        <f t="shared" si="13"/>
        <v>0</v>
      </c>
      <c r="G83" s="1116">
        <f t="shared" si="14"/>
        <v>0</v>
      </c>
      <c r="H83" s="976"/>
      <c r="I83" s="1117">
        <f t="shared" si="20"/>
        <v>0</v>
      </c>
      <c r="J83" s="1117">
        <f t="shared" si="20"/>
        <v>0</v>
      </c>
      <c r="K83" s="1320"/>
      <c r="L83" s="1000" t="str">
        <f t="shared" si="15"/>
        <v/>
      </c>
      <c r="M83" s="1118">
        <f t="shared" si="16"/>
        <v>0</v>
      </c>
      <c r="N83" s="976"/>
      <c r="O83" s="1119">
        <f t="shared" si="12"/>
        <v>0</v>
      </c>
      <c r="P83" s="1119">
        <f t="shared" si="21"/>
        <v>0</v>
      </c>
      <c r="Q83" s="1119">
        <f t="shared" si="21"/>
        <v>0</v>
      </c>
      <c r="R83" s="1119">
        <f t="shared" si="21"/>
        <v>0</v>
      </c>
      <c r="S83" s="1119">
        <f t="shared" si="21"/>
        <v>0</v>
      </c>
      <c r="T83" s="1119">
        <f t="shared" si="21"/>
        <v>0</v>
      </c>
      <c r="U83" s="1119">
        <f t="shared" si="21"/>
        <v>0</v>
      </c>
      <c r="V83" s="1119">
        <f t="shared" si="21"/>
        <v>0</v>
      </c>
      <c r="W83" s="1119">
        <f t="shared" si="21"/>
        <v>0</v>
      </c>
      <c r="X83" s="978"/>
      <c r="Y83" s="1120">
        <f t="shared" si="17"/>
        <v>0</v>
      </c>
      <c r="Z83" s="1354"/>
      <c r="AA83" s="1001">
        <v>0</v>
      </c>
      <c r="AB83" s="978"/>
      <c r="AC83" s="1036">
        <f t="shared" si="18"/>
        <v>0</v>
      </c>
      <c r="AD83" s="783">
        <f t="shared" si="19"/>
        <v>0</v>
      </c>
      <c r="AE83" s="1321"/>
      <c r="AF83" s="1322"/>
      <c r="AG83" s="740"/>
    </row>
    <row r="84" spans="1:33">
      <c r="A84" s="96">
        <v>300191</v>
      </c>
      <c r="B84" s="1286" t="s">
        <v>75</v>
      </c>
      <c r="C84" s="782">
        <f>'TAR_Tab 2_Volumina'!N87</f>
        <v>1</v>
      </c>
      <c r="D84" s="976"/>
      <c r="E84" s="1318">
        <v>17861.01390568259</v>
      </c>
      <c r="F84" s="1116">
        <f t="shared" si="13"/>
        <v>16996.540832647552</v>
      </c>
      <c r="G84" s="1116">
        <f t="shared" si="14"/>
        <v>17393.767082242914</v>
      </c>
      <c r="H84" s="976"/>
      <c r="I84" s="1117">
        <f t="shared" si="20"/>
        <v>16524.078728130768</v>
      </c>
      <c r="J84" s="1117">
        <f t="shared" si="20"/>
        <v>18263.45543635506</v>
      </c>
      <c r="K84" s="1320"/>
      <c r="L84" s="1000" t="str">
        <f t="shared" si="15"/>
        <v/>
      </c>
      <c r="M84" s="1118">
        <f t="shared" si="16"/>
        <v>17393.767082242914</v>
      </c>
      <c r="N84" s="976"/>
      <c r="O84" s="1119">
        <f t="shared" si="12"/>
        <v>-806.68567480189563</v>
      </c>
      <c r="P84" s="1119">
        <f t="shared" si="21"/>
        <v>834.70472044811856</v>
      </c>
      <c r="Q84" s="1119">
        <f t="shared" si="21"/>
        <v>0</v>
      </c>
      <c r="R84" s="1119">
        <f t="shared" si="21"/>
        <v>31.44541525601797</v>
      </c>
      <c r="S84" s="1119">
        <f t="shared" si="21"/>
        <v>728.26984823413966</v>
      </c>
      <c r="T84" s="1119">
        <f t="shared" si="21"/>
        <v>-95.309108646485171</v>
      </c>
      <c r="U84" s="1119">
        <f t="shared" si="21"/>
        <v>-3.5856362779786122</v>
      </c>
      <c r="V84" s="1119">
        <f t="shared" si="21"/>
        <v>-296.46925773814843</v>
      </c>
      <c r="W84" s="1119">
        <f t="shared" si="21"/>
        <v>23.392442910364515</v>
      </c>
      <c r="X84" s="978"/>
      <c r="Y84" s="1120">
        <f t="shared" si="17"/>
        <v>17809.529831627045</v>
      </c>
      <c r="Z84" s="1354"/>
      <c r="AA84" s="1001">
        <v>8.0686496455220733E-2</v>
      </c>
      <c r="AB84" s="978"/>
      <c r="AC84" s="1036">
        <f t="shared" si="18"/>
        <v>8.0686496455220733E-2</v>
      </c>
      <c r="AD84" s="783">
        <f t="shared" si="19"/>
        <v>8.1000000000000003E-2</v>
      </c>
      <c r="AE84" s="1321"/>
      <c r="AF84" s="1322"/>
      <c r="AG84" s="740"/>
    </row>
    <row r="85" spans="1:33">
      <c r="A85" s="96">
        <v>300192</v>
      </c>
      <c r="B85" s="1286" t="s">
        <v>758</v>
      </c>
      <c r="C85" s="782">
        <f>'TAR_Tab 2_Volumina'!N88</f>
        <v>0</v>
      </c>
      <c r="D85" s="976"/>
      <c r="E85" s="1318">
        <v>0</v>
      </c>
      <c r="F85" s="1116">
        <f t="shared" si="13"/>
        <v>0</v>
      </c>
      <c r="G85" s="1116">
        <f t="shared" si="14"/>
        <v>0</v>
      </c>
      <c r="H85" s="976"/>
      <c r="I85" s="1117">
        <f t="shared" si="20"/>
        <v>0</v>
      </c>
      <c r="J85" s="1117">
        <f t="shared" si="20"/>
        <v>0</v>
      </c>
      <c r="K85" s="1320"/>
      <c r="L85" s="1000" t="str">
        <f t="shared" si="15"/>
        <v/>
      </c>
      <c r="M85" s="1118">
        <f t="shared" si="16"/>
        <v>0</v>
      </c>
      <c r="N85" s="976"/>
      <c r="O85" s="1119">
        <f t="shared" si="12"/>
        <v>0</v>
      </c>
      <c r="P85" s="1119">
        <f t="shared" si="21"/>
        <v>0</v>
      </c>
      <c r="Q85" s="1119">
        <f t="shared" si="21"/>
        <v>0</v>
      </c>
      <c r="R85" s="1119">
        <f t="shared" si="21"/>
        <v>0</v>
      </c>
      <c r="S85" s="1119">
        <f t="shared" si="21"/>
        <v>0</v>
      </c>
      <c r="T85" s="1119">
        <f t="shared" si="21"/>
        <v>0</v>
      </c>
      <c r="U85" s="1119">
        <f t="shared" si="21"/>
        <v>0</v>
      </c>
      <c r="V85" s="1119">
        <f t="shared" si="21"/>
        <v>0</v>
      </c>
      <c r="W85" s="1119">
        <f t="shared" si="21"/>
        <v>0</v>
      </c>
      <c r="X85" s="978"/>
      <c r="Y85" s="1120">
        <f t="shared" si="17"/>
        <v>0</v>
      </c>
      <c r="Z85" s="1354"/>
      <c r="AA85" s="1001">
        <v>0</v>
      </c>
      <c r="AB85" s="978"/>
      <c r="AC85" s="1036">
        <f t="shared" si="18"/>
        <v>0</v>
      </c>
      <c r="AD85" s="783">
        <f t="shared" si="19"/>
        <v>0</v>
      </c>
      <c r="AE85" s="1321"/>
      <c r="AF85" s="1322"/>
      <c r="AG85" s="740"/>
    </row>
    <row r="86" spans="1:33">
      <c r="A86" s="96">
        <v>300193</v>
      </c>
      <c r="B86" s="1286" t="s">
        <v>76</v>
      </c>
      <c r="C86" s="782">
        <f>'TAR_Tab 2_Volumina'!N89</f>
        <v>1</v>
      </c>
      <c r="D86" s="976"/>
      <c r="E86" s="1318">
        <v>17861.01390568259</v>
      </c>
      <c r="F86" s="1116">
        <f t="shared" si="13"/>
        <v>16996.540832647552</v>
      </c>
      <c r="G86" s="1116">
        <f t="shared" si="14"/>
        <v>17393.767082242914</v>
      </c>
      <c r="H86" s="976"/>
      <c r="I86" s="1117">
        <f t="shared" si="20"/>
        <v>16524.078728130768</v>
      </c>
      <c r="J86" s="1117">
        <f t="shared" si="20"/>
        <v>18263.45543635506</v>
      </c>
      <c r="K86" s="1320"/>
      <c r="L86" s="1000" t="str">
        <f t="shared" si="15"/>
        <v/>
      </c>
      <c r="M86" s="1118">
        <f t="shared" si="16"/>
        <v>17393.767082242914</v>
      </c>
      <c r="N86" s="976"/>
      <c r="O86" s="1119">
        <f t="shared" si="12"/>
        <v>-806.68567480189563</v>
      </c>
      <c r="P86" s="1119">
        <f t="shared" si="21"/>
        <v>834.70472044811856</v>
      </c>
      <c r="Q86" s="1119">
        <f t="shared" si="21"/>
        <v>0</v>
      </c>
      <c r="R86" s="1119">
        <f t="shared" si="21"/>
        <v>31.44541525601797</v>
      </c>
      <c r="S86" s="1119">
        <f t="shared" si="21"/>
        <v>728.26984823413966</v>
      </c>
      <c r="T86" s="1119">
        <f t="shared" si="21"/>
        <v>-95.309108646485171</v>
      </c>
      <c r="U86" s="1119">
        <f t="shared" si="21"/>
        <v>-3.5856362779786122</v>
      </c>
      <c r="V86" s="1119">
        <f t="shared" si="21"/>
        <v>-296.46925773814843</v>
      </c>
      <c r="W86" s="1119">
        <f t="shared" si="21"/>
        <v>23.392442910364515</v>
      </c>
      <c r="X86" s="978"/>
      <c r="Y86" s="1120">
        <f t="shared" si="17"/>
        <v>17809.529831627045</v>
      </c>
      <c r="Z86" s="1354"/>
      <c r="AA86" s="1001">
        <v>0.20341384077106217</v>
      </c>
      <c r="AB86" s="978"/>
      <c r="AC86" s="1036">
        <f t="shared" si="18"/>
        <v>0.20341384077106217</v>
      </c>
      <c r="AD86" s="783">
        <f t="shared" si="19"/>
        <v>0.20300000000000001</v>
      </c>
      <c r="AE86" s="1321"/>
      <c r="AF86" s="1322"/>
      <c r="AG86" s="740"/>
    </row>
    <row r="87" spans="1:33">
      <c r="A87" s="96">
        <v>300196</v>
      </c>
      <c r="B87" s="1286" t="s">
        <v>759</v>
      </c>
      <c r="C87" s="782">
        <f>'TAR_Tab 2_Volumina'!N90</f>
        <v>0</v>
      </c>
      <c r="D87" s="976"/>
      <c r="E87" s="1318">
        <v>0</v>
      </c>
      <c r="F87" s="1116">
        <f t="shared" si="13"/>
        <v>0</v>
      </c>
      <c r="G87" s="1116">
        <f t="shared" si="14"/>
        <v>0</v>
      </c>
      <c r="H87" s="976"/>
      <c r="I87" s="1117">
        <f t="shared" si="20"/>
        <v>0</v>
      </c>
      <c r="J87" s="1117">
        <f t="shared" si="20"/>
        <v>0</v>
      </c>
      <c r="K87" s="1320"/>
      <c r="L87" s="1000" t="str">
        <f t="shared" si="15"/>
        <v/>
      </c>
      <c r="M87" s="1118">
        <f t="shared" si="16"/>
        <v>0</v>
      </c>
      <c r="N87" s="976"/>
      <c r="O87" s="1119">
        <f t="shared" si="12"/>
        <v>0</v>
      </c>
      <c r="P87" s="1119">
        <f t="shared" si="21"/>
        <v>0</v>
      </c>
      <c r="Q87" s="1119">
        <f t="shared" si="21"/>
        <v>0</v>
      </c>
      <c r="R87" s="1119">
        <f t="shared" si="21"/>
        <v>0</v>
      </c>
      <c r="S87" s="1119">
        <f t="shared" si="21"/>
        <v>0</v>
      </c>
      <c r="T87" s="1119">
        <f t="shared" si="21"/>
        <v>0</v>
      </c>
      <c r="U87" s="1119">
        <f t="shared" si="21"/>
        <v>0</v>
      </c>
      <c r="V87" s="1119">
        <f t="shared" si="21"/>
        <v>0</v>
      </c>
      <c r="W87" s="1119">
        <f t="shared" si="21"/>
        <v>0</v>
      </c>
      <c r="X87" s="978"/>
      <c r="Y87" s="1120">
        <f t="shared" si="17"/>
        <v>0</v>
      </c>
      <c r="Z87" s="1354"/>
      <c r="AA87" s="1001">
        <v>0</v>
      </c>
      <c r="AB87" s="978"/>
      <c r="AC87" s="1036">
        <f t="shared" si="18"/>
        <v>0</v>
      </c>
      <c r="AD87" s="783">
        <f t="shared" si="19"/>
        <v>0</v>
      </c>
      <c r="AE87" s="1321"/>
      <c r="AF87" s="1322"/>
      <c r="AG87" s="740"/>
    </row>
    <row r="88" spans="1:33">
      <c r="A88" s="96">
        <v>300197</v>
      </c>
      <c r="B88" s="1286" t="s">
        <v>30</v>
      </c>
      <c r="C88" s="782">
        <f>'TAR_Tab 2_Volumina'!N91</f>
        <v>0</v>
      </c>
      <c r="D88" s="976"/>
      <c r="E88" s="1318">
        <v>0</v>
      </c>
      <c r="F88" s="1116">
        <f t="shared" si="13"/>
        <v>0</v>
      </c>
      <c r="G88" s="1116">
        <f t="shared" si="14"/>
        <v>0</v>
      </c>
      <c r="H88" s="976"/>
      <c r="I88" s="1117">
        <f t="shared" si="20"/>
        <v>0</v>
      </c>
      <c r="J88" s="1117">
        <f t="shared" si="20"/>
        <v>0</v>
      </c>
      <c r="K88" s="1320"/>
      <c r="L88" s="1000" t="str">
        <f t="shared" si="15"/>
        <v/>
      </c>
      <c r="M88" s="1118">
        <f t="shared" si="16"/>
        <v>0</v>
      </c>
      <c r="N88" s="976"/>
      <c r="O88" s="1119">
        <f t="shared" si="12"/>
        <v>0</v>
      </c>
      <c r="P88" s="1119">
        <f t="shared" si="21"/>
        <v>0</v>
      </c>
      <c r="Q88" s="1119">
        <f t="shared" si="21"/>
        <v>0</v>
      </c>
      <c r="R88" s="1119">
        <f t="shared" si="21"/>
        <v>0</v>
      </c>
      <c r="S88" s="1119">
        <f t="shared" si="21"/>
        <v>0</v>
      </c>
      <c r="T88" s="1119">
        <f t="shared" si="21"/>
        <v>0</v>
      </c>
      <c r="U88" s="1119">
        <f t="shared" si="21"/>
        <v>0</v>
      </c>
      <c r="V88" s="1119">
        <f t="shared" si="21"/>
        <v>0</v>
      </c>
      <c r="W88" s="1119">
        <f t="shared" si="21"/>
        <v>0</v>
      </c>
      <c r="X88" s="978"/>
      <c r="Y88" s="1120">
        <f t="shared" si="17"/>
        <v>0</v>
      </c>
      <c r="Z88" s="1354"/>
      <c r="AA88" s="1001">
        <v>0</v>
      </c>
      <c r="AB88" s="978"/>
      <c r="AC88" s="1036">
        <f t="shared" si="18"/>
        <v>0</v>
      </c>
      <c r="AD88" s="783">
        <f t="shared" si="19"/>
        <v>0</v>
      </c>
      <c r="AE88" s="1321"/>
      <c r="AF88" s="1322"/>
      <c r="AG88" s="740"/>
    </row>
    <row r="89" spans="1:33">
      <c r="A89" s="96">
        <v>300200</v>
      </c>
      <c r="B89" s="1286" t="s">
        <v>31</v>
      </c>
      <c r="C89" s="782">
        <f>'TAR_Tab 2_Volumina'!N92</f>
        <v>0</v>
      </c>
      <c r="D89" s="976"/>
      <c r="E89" s="1318">
        <v>0</v>
      </c>
      <c r="F89" s="1116">
        <f t="shared" si="13"/>
        <v>0</v>
      </c>
      <c r="G89" s="1116">
        <f t="shared" si="14"/>
        <v>0</v>
      </c>
      <c r="H89" s="976"/>
      <c r="I89" s="1117">
        <f t="shared" si="20"/>
        <v>0</v>
      </c>
      <c r="J89" s="1117">
        <f t="shared" si="20"/>
        <v>0</v>
      </c>
      <c r="K89" s="1320"/>
      <c r="L89" s="1000" t="str">
        <f t="shared" si="15"/>
        <v/>
      </c>
      <c r="M89" s="1118">
        <f t="shared" si="16"/>
        <v>0</v>
      </c>
      <c r="N89" s="976"/>
      <c r="O89" s="1119">
        <f t="shared" si="12"/>
        <v>0</v>
      </c>
      <c r="P89" s="1119">
        <f t="shared" si="21"/>
        <v>0</v>
      </c>
      <c r="Q89" s="1119">
        <f t="shared" si="21"/>
        <v>0</v>
      </c>
      <c r="R89" s="1119">
        <f t="shared" si="21"/>
        <v>0</v>
      </c>
      <c r="S89" s="1119">
        <f t="shared" si="21"/>
        <v>0</v>
      </c>
      <c r="T89" s="1119">
        <f t="shared" si="21"/>
        <v>0</v>
      </c>
      <c r="U89" s="1119">
        <f t="shared" si="21"/>
        <v>0</v>
      </c>
      <c r="V89" s="1119">
        <f t="shared" si="21"/>
        <v>0</v>
      </c>
      <c r="W89" s="1119">
        <f t="shared" si="21"/>
        <v>0</v>
      </c>
      <c r="X89" s="978"/>
      <c r="Y89" s="1120">
        <f t="shared" si="17"/>
        <v>0</v>
      </c>
      <c r="Z89" s="1354"/>
      <c r="AA89" s="1001">
        <v>0</v>
      </c>
      <c r="AB89" s="978"/>
      <c r="AC89" s="1036">
        <f t="shared" si="18"/>
        <v>0</v>
      </c>
      <c r="AD89" s="783">
        <f t="shared" si="19"/>
        <v>0</v>
      </c>
      <c r="AE89" s="1321"/>
      <c r="AF89" s="1322"/>
      <c r="AG89" s="740"/>
    </row>
    <row r="90" spans="1:33">
      <c r="A90" s="96">
        <v>300201</v>
      </c>
      <c r="B90" s="1286" t="s">
        <v>1198</v>
      </c>
      <c r="C90" s="782">
        <f>'TAR_Tab 2_Volumina'!N93</f>
        <v>0</v>
      </c>
      <c r="D90" s="976"/>
      <c r="E90" s="1318">
        <v>0</v>
      </c>
      <c r="F90" s="1116">
        <f t="shared" si="13"/>
        <v>0</v>
      </c>
      <c r="G90" s="1116">
        <f t="shared" si="14"/>
        <v>0</v>
      </c>
      <c r="H90" s="976"/>
      <c r="I90" s="1117">
        <f t="shared" si="20"/>
        <v>0</v>
      </c>
      <c r="J90" s="1117">
        <f t="shared" si="20"/>
        <v>0</v>
      </c>
      <c r="K90" s="1320"/>
      <c r="L90" s="1000" t="str">
        <f t="shared" si="15"/>
        <v/>
      </c>
      <c r="M90" s="1118">
        <f t="shared" si="16"/>
        <v>0</v>
      </c>
      <c r="N90" s="976"/>
      <c r="O90" s="1119">
        <f t="shared" si="12"/>
        <v>0</v>
      </c>
      <c r="P90" s="1119">
        <f t="shared" si="21"/>
        <v>0</v>
      </c>
      <c r="Q90" s="1119">
        <f t="shared" si="21"/>
        <v>0</v>
      </c>
      <c r="R90" s="1119">
        <f t="shared" si="21"/>
        <v>0</v>
      </c>
      <c r="S90" s="1119">
        <f t="shared" si="21"/>
        <v>0</v>
      </c>
      <c r="T90" s="1119">
        <f t="shared" si="21"/>
        <v>0</v>
      </c>
      <c r="U90" s="1119">
        <f t="shared" si="21"/>
        <v>0</v>
      </c>
      <c r="V90" s="1119">
        <f t="shared" si="21"/>
        <v>0</v>
      </c>
      <c r="W90" s="1119">
        <f t="shared" si="21"/>
        <v>0</v>
      </c>
      <c r="X90" s="978"/>
      <c r="Y90" s="1120">
        <f t="shared" si="17"/>
        <v>0</v>
      </c>
      <c r="Z90" s="1354"/>
      <c r="AA90" s="1001">
        <v>0</v>
      </c>
      <c r="AB90" s="978"/>
      <c r="AC90" s="1036">
        <f t="shared" si="18"/>
        <v>0</v>
      </c>
      <c r="AD90" s="783">
        <f t="shared" si="19"/>
        <v>0</v>
      </c>
      <c r="AE90" s="1321"/>
      <c r="AF90" s="1322"/>
      <c r="AG90" s="740"/>
    </row>
    <row r="91" spans="1:33">
      <c r="A91" s="96">
        <v>300203</v>
      </c>
      <c r="B91" s="1286" t="s">
        <v>77</v>
      </c>
      <c r="C91" s="782">
        <f>'TAR_Tab 2_Volumina'!N94</f>
        <v>0</v>
      </c>
      <c r="D91" s="976"/>
      <c r="E91" s="1318">
        <v>0</v>
      </c>
      <c r="F91" s="1116">
        <f t="shared" si="13"/>
        <v>0</v>
      </c>
      <c r="G91" s="1116">
        <f t="shared" si="14"/>
        <v>0</v>
      </c>
      <c r="H91" s="976"/>
      <c r="I91" s="1117">
        <f t="shared" si="20"/>
        <v>0</v>
      </c>
      <c r="J91" s="1117">
        <f t="shared" si="20"/>
        <v>0</v>
      </c>
      <c r="K91" s="1320"/>
      <c r="L91" s="1000" t="str">
        <f t="shared" si="15"/>
        <v/>
      </c>
      <c r="M91" s="1118">
        <f t="shared" si="16"/>
        <v>0</v>
      </c>
      <c r="N91" s="976"/>
      <c r="O91" s="1119">
        <f t="shared" si="12"/>
        <v>0</v>
      </c>
      <c r="P91" s="1119">
        <f t="shared" si="21"/>
        <v>0</v>
      </c>
      <c r="Q91" s="1119">
        <f t="shared" si="21"/>
        <v>0</v>
      </c>
      <c r="R91" s="1119">
        <f t="shared" si="21"/>
        <v>0</v>
      </c>
      <c r="S91" s="1119">
        <f t="shared" si="21"/>
        <v>0</v>
      </c>
      <c r="T91" s="1119">
        <f t="shared" si="21"/>
        <v>0</v>
      </c>
      <c r="U91" s="1119">
        <f t="shared" si="21"/>
        <v>0</v>
      </c>
      <c r="V91" s="1119">
        <f t="shared" si="21"/>
        <v>0</v>
      </c>
      <c r="W91" s="1119">
        <f t="shared" si="21"/>
        <v>0</v>
      </c>
      <c r="X91" s="978"/>
      <c r="Y91" s="1120">
        <f t="shared" si="17"/>
        <v>0</v>
      </c>
      <c r="Z91" s="1354"/>
      <c r="AA91" s="1001">
        <v>0</v>
      </c>
      <c r="AB91" s="978"/>
      <c r="AC91" s="1036">
        <f t="shared" si="18"/>
        <v>0</v>
      </c>
      <c r="AD91" s="783">
        <f t="shared" si="19"/>
        <v>0</v>
      </c>
      <c r="AE91" s="1321"/>
      <c r="AF91" s="1322"/>
      <c r="AG91" s="740"/>
    </row>
    <row r="92" spans="1:33">
      <c r="A92" s="96">
        <v>300205</v>
      </c>
      <c r="B92" s="1286" t="s">
        <v>269</v>
      </c>
      <c r="C92" s="782">
        <f>'TAR_Tab 2_Volumina'!N95</f>
        <v>0</v>
      </c>
      <c r="D92" s="976"/>
      <c r="E92" s="1318">
        <v>0</v>
      </c>
      <c r="F92" s="1116">
        <f t="shared" si="13"/>
        <v>0</v>
      </c>
      <c r="G92" s="1116">
        <f t="shared" si="14"/>
        <v>0</v>
      </c>
      <c r="H92" s="976"/>
      <c r="I92" s="1117">
        <f t="shared" si="20"/>
        <v>0</v>
      </c>
      <c r="J92" s="1117">
        <f t="shared" si="20"/>
        <v>0</v>
      </c>
      <c r="K92" s="1320"/>
      <c r="L92" s="1000" t="str">
        <f t="shared" si="15"/>
        <v/>
      </c>
      <c r="M92" s="1118">
        <f t="shared" si="16"/>
        <v>0</v>
      </c>
      <c r="N92" s="976"/>
      <c r="O92" s="1119">
        <f t="shared" si="12"/>
        <v>0</v>
      </c>
      <c r="P92" s="1119">
        <f t="shared" si="21"/>
        <v>0</v>
      </c>
      <c r="Q92" s="1119">
        <f t="shared" si="21"/>
        <v>0</v>
      </c>
      <c r="R92" s="1119">
        <f t="shared" si="21"/>
        <v>0</v>
      </c>
      <c r="S92" s="1119">
        <f t="shared" si="21"/>
        <v>0</v>
      </c>
      <c r="T92" s="1119">
        <f t="shared" si="21"/>
        <v>0</v>
      </c>
      <c r="U92" s="1119">
        <f t="shared" si="21"/>
        <v>0</v>
      </c>
      <c r="V92" s="1119">
        <f t="shared" si="21"/>
        <v>0</v>
      </c>
      <c r="W92" s="1119">
        <f t="shared" si="21"/>
        <v>0</v>
      </c>
      <c r="X92" s="978"/>
      <c r="Y92" s="1120">
        <f t="shared" si="17"/>
        <v>0</v>
      </c>
      <c r="Z92" s="1354"/>
      <c r="AA92" s="1001">
        <v>0</v>
      </c>
      <c r="AB92" s="978"/>
      <c r="AC92" s="1036">
        <f t="shared" si="18"/>
        <v>0</v>
      </c>
      <c r="AD92" s="783">
        <f t="shared" si="19"/>
        <v>0</v>
      </c>
      <c r="AE92" s="1321"/>
      <c r="AF92" s="1322"/>
      <c r="AG92" s="740"/>
    </row>
    <row r="93" spans="1:33">
      <c r="A93" s="96">
        <v>300210</v>
      </c>
      <c r="B93" s="1286" t="s">
        <v>78</v>
      </c>
      <c r="C93" s="782">
        <f>'TAR_Tab 2_Volumina'!N96</f>
        <v>0</v>
      </c>
      <c r="D93" s="976"/>
      <c r="E93" s="1318">
        <v>0</v>
      </c>
      <c r="F93" s="1116">
        <f t="shared" si="13"/>
        <v>0</v>
      </c>
      <c r="G93" s="1116">
        <f t="shared" si="14"/>
        <v>0</v>
      </c>
      <c r="H93" s="976"/>
      <c r="I93" s="1117">
        <f t="shared" si="20"/>
        <v>0</v>
      </c>
      <c r="J93" s="1117">
        <f t="shared" si="20"/>
        <v>0</v>
      </c>
      <c r="K93" s="1320"/>
      <c r="L93" s="1000" t="str">
        <f t="shared" si="15"/>
        <v/>
      </c>
      <c r="M93" s="1118">
        <f t="shared" si="16"/>
        <v>0</v>
      </c>
      <c r="N93" s="976"/>
      <c r="O93" s="1119">
        <f t="shared" si="12"/>
        <v>0</v>
      </c>
      <c r="P93" s="1119">
        <f t="shared" si="21"/>
        <v>0</v>
      </c>
      <c r="Q93" s="1119">
        <f t="shared" si="21"/>
        <v>0</v>
      </c>
      <c r="R93" s="1119">
        <f t="shared" si="21"/>
        <v>0</v>
      </c>
      <c r="S93" s="1119">
        <f t="shared" si="21"/>
        <v>0</v>
      </c>
      <c r="T93" s="1119">
        <f t="shared" si="21"/>
        <v>0</v>
      </c>
      <c r="U93" s="1119">
        <f t="shared" si="21"/>
        <v>0</v>
      </c>
      <c r="V93" s="1119">
        <f t="shared" si="21"/>
        <v>0</v>
      </c>
      <c r="W93" s="1119">
        <f t="shared" si="21"/>
        <v>0</v>
      </c>
      <c r="X93" s="978"/>
      <c r="Y93" s="1120">
        <f t="shared" si="17"/>
        <v>0</v>
      </c>
      <c r="Z93" s="1354"/>
      <c r="AA93" s="1001">
        <v>0</v>
      </c>
      <c r="AB93" s="978"/>
      <c r="AC93" s="1036">
        <f t="shared" si="18"/>
        <v>0</v>
      </c>
      <c r="AD93" s="783">
        <f t="shared" si="19"/>
        <v>0</v>
      </c>
      <c r="AE93" s="1321"/>
      <c r="AF93" s="1322"/>
      <c r="AG93" s="740"/>
    </row>
    <row r="94" spans="1:33">
      <c r="A94" s="96">
        <v>300216</v>
      </c>
      <c r="B94" s="1286" t="s">
        <v>79</v>
      </c>
      <c r="C94" s="782">
        <f>'TAR_Tab 2_Volumina'!N97</f>
        <v>0</v>
      </c>
      <c r="D94" s="976"/>
      <c r="E94" s="1318">
        <v>0</v>
      </c>
      <c r="F94" s="1116">
        <f t="shared" si="13"/>
        <v>0</v>
      </c>
      <c r="G94" s="1116">
        <f t="shared" si="14"/>
        <v>0</v>
      </c>
      <c r="H94" s="976"/>
      <c r="I94" s="1117">
        <f t="shared" si="20"/>
        <v>0</v>
      </c>
      <c r="J94" s="1117">
        <f t="shared" si="20"/>
        <v>0</v>
      </c>
      <c r="K94" s="1320"/>
      <c r="L94" s="1000" t="str">
        <f t="shared" si="15"/>
        <v/>
      </c>
      <c r="M94" s="1118">
        <f t="shared" si="16"/>
        <v>0</v>
      </c>
      <c r="N94" s="976"/>
      <c r="O94" s="1119">
        <f t="shared" si="12"/>
        <v>0</v>
      </c>
      <c r="P94" s="1119">
        <f t="shared" si="21"/>
        <v>0</v>
      </c>
      <c r="Q94" s="1119">
        <f t="shared" si="21"/>
        <v>0</v>
      </c>
      <c r="R94" s="1119">
        <f t="shared" si="21"/>
        <v>0</v>
      </c>
      <c r="S94" s="1119">
        <f t="shared" si="21"/>
        <v>0</v>
      </c>
      <c r="T94" s="1119">
        <f t="shared" si="21"/>
        <v>0</v>
      </c>
      <c r="U94" s="1119">
        <f t="shared" si="21"/>
        <v>0</v>
      </c>
      <c r="V94" s="1119">
        <f t="shared" si="21"/>
        <v>0</v>
      </c>
      <c r="W94" s="1119">
        <f t="shared" si="21"/>
        <v>0</v>
      </c>
      <c r="X94" s="978"/>
      <c r="Y94" s="1120">
        <f t="shared" si="17"/>
        <v>0</v>
      </c>
      <c r="Z94" s="1354"/>
      <c r="AA94" s="1001">
        <v>0</v>
      </c>
      <c r="AB94" s="978"/>
      <c r="AC94" s="1036">
        <f t="shared" si="18"/>
        <v>0</v>
      </c>
      <c r="AD94" s="783">
        <f t="shared" si="19"/>
        <v>0</v>
      </c>
      <c r="AE94" s="1321"/>
      <c r="AF94" s="1322"/>
      <c r="AG94" s="740"/>
    </row>
    <row r="95" spans="1:33">
      <c r="A95" s="96">
        <v>300217</v>
      </c>
      <c r="B95" s="1286" t="s">
        <v>270</v>
      </c>
      <c r="C95" s="782">
        <f>'TAR_Tab 2_Volumina'!N98</f>
        <v>1</v>
      </c>
      <c r="D95" s="976"/>
      <c r="E95" s="1318">
        <v>35722.02781136518</v>
      </c>
      <c r="F95" s="1116">
        <f t="shared" si="13"/>
        <v>33993.081665295103</v>
      </c>
      <c r="G95" s="1116">
        <f t="shared" si="14"/>
        <v>34787.534164485827</v>
      </c>
      <c r="H95" s="976"/>
      <c r="I95" s="1117">
        <f t="shared" si="20"/>
        <v>33048.157456261535</v>
      </c>
      <c r="J95" s="1117">
        <f t="shared" si="20"/>
        <v>36526.910872710119</v>
      </c>
      <c r="K95" s="1320"/>
      <c r="L95" s="1000" t="str">
        <f t="shared" si="15"/>
        <v/>
      </c>
      <c r="M95" s="1118">
        <f t="shared" si="16"/>
        <v>34787.534164485827</v>
      </c>
      <c r="N95" s="976"/>
      <c r="O95" s="1119">
        <f t="shared" si="12"/>
        <v>-1613.3713496037913</v>
      </c>
      <c r="P95" s="1119">
        <f t="shared" si="21"/>
        <v>1669.4094408962371</v>
      </c>
      <c r="Q95" s="1119">
        <f t="shared" si="21"/>
        <v>0</v>
      </c>
      <c r="R95" s="1119">
        <f t="shared" si="21"/>
        <v>62.89083051203594</v>
      </c>
      <c r="S95" s="1119">
        <f t="shared" si="21"/>
        <v>1456.5396964682793</v>
      </c>
      <c r="T95" s="1119">
        <f t="shared" si="21"/>
        <v>-190.61821729297034</v>
      </c>
      <c r="U95" s="1119">
        <f t="shared" si="21"/>
        <v>-7.1712725559572243</v>
      </c>
      <c r="V95" s="1119">
        <f t="shared" si="21"/>
        <v>-592.93851547629686</v>
      </c>
      <c r="W95" s="1119">
        <f t="shared" si="21"/>
        <v>46.784885820729031</v>
      </c>
      <c r="X95" s="978"/>
      <c r="Y95" s="1120">
        <f t="shared" si="17"/>
        <v>35619.059663254091</v>
      </c>
      <c r="Z95" s="1354"/>
      <c r="AA95" s="1001">
        <v>9.8202195865962544E-2</v>
      </c>
      <c r="AB95" s="978"/>
      <c r="AC95" s="1036">
        <f t="shared" si="18"/>
        <v>9.8202195865962544E-2</v>
      </c>
      <c r="AD95" s="783">
        <f t="shared" si="19"/>
        <v>9.8000000000000004E-2</v>
      </c>
      <c r="AE95" s="1321"/>
      <c r="AF95" s="1322"/>
      <c r="AG95" s="740"/>
    </row>
    <row r="96" spans="1:33">
      <c r="A96" s="96">
        <v>300220</v>
      </c>
      <c r="B96" s="1286" t="s">
        <v>649</v>
      </c>
      <c r="C96" s="782">
        <f>'TAR_Tab 2_Volumina'!N99</f>
        <v>0</v>
      </c>
      <c r="D96" s="976"/>
      <c r="E96" s="1318">
        <v>0</v>
      </c>
      <c r="F96" s="1116">
        <f t="shared" si="13"/>
        <v>0</v>
      </c>
      <c r="G96" s="1116">
        <f t="shared" si="14"/>
        <v>0</v>
      </c>
      <c r="H96" s="976"/>
      <c r="I96" s="1117">
        <f t="shared" si="20"/>
        <v>0</v>
      </c>
      <c r="J96" s="1117">
        <f t="shared" si="20"/>
        <v>0</v>
      </c>
      <c r="K96" s="1320"/>
      <c r="L96" s="1000" t="str">
        <f t="shared" si="15"/>
        <v/>
      </c>
      <c r="M96" s="1118">
        <f t="shared" si="16"/>
        <v>0</v>
      </c>
      <c r="N96" s="976"/>
      <c r="O96" s="1119">
        <f t="shared" si="12"/>
        <v>0</v>
      </c>
      <c r="P96" s="1119">
        <f t="shared" si="21"/>
        <v>0</v>
      </c>
      <c r="Q96" s="1119">
        <f t="shared" si="21"/>
        <v>0</v>
      </c>
      <c r="R96" s="1119">
        <f t="shared" si="21"/>
        <v>0</v>
      </c>
      <c r="S96" s="1119">
        <f t="shared" si="21"/>
        <v>0</v>
      </c>
      <c r="T96" s="1119">
        <f t="shared" si="21"/>
        <v>0</v>
      </c>
      <c r="U96" s="1119">
        <f t="shared" si="21"/>
        <v>0</v>
      </c>
      <c r="V96" s="1119">
        <f t="shared" si="21"/>
        <v>0</v>
      </c>
      <c r="W96" s="1119">
        <f t="shared" si="21"/>
        <v>0</v>
      </c>
      <c r="X96" s="978"/>
      <c r="Y96" s="1120">
        <f t="shared" si="17"/>
        <v>0</v>
      </c>
      <c r="Z96" s="1354"/>
      <c r="AA96" s="1001">
        <v>0</v>
      </c>
      <c r="AB96" s="978"/>
      <c r="AC96" s="1036">
        <f t="shared" si="18"/>
        <v>0</v>
      </c>
      <c r="AD96" s="783">
        <f t="shared" si="19"/>
        <v>0</v>
      </c>
      <c r="AE96" s="1321"/>
      <c r="AF96" s="1322"/>
      <c r="AG96" s="740"/>
    </row>
    <row r="97" spans="1:33">
      <c r="A97" s="96">
        <v>300221</v>
      </c>
      <c r="B97" s="1286" t="s">
        <v>32</v>
      </c>
      <c r="C97" s="782">
        <f>'TAR_Tab 2_Volumina'!N100</f>
        <v>0</v>
      </c>
      <c r="D97" s="976"/>
      <c r="E97" s="1318">
        <v>0</v>
      </c>
      <c r="F97" s="1116">
        <f t="shared" si="13"/>
        <v>0</v>
      </c>
      <c r="G97" s="1116">
        <f t="shared" si="14"/>
        <v>0</v>
      </c>
      <c r="H97" s="976"/>
      <c r="I97" s="1117">
        <f t="shared" si="20"/>
        <v>0</v>
      </c>
      <c r="J97" s="1117">
        <f t="shared" si="20"/>
        <v>0</v>
      </c>
      <c r="K97" s="1320"/>
      <c r="L97" s="1000" t="str">
        <f t="shared" si="15"/>
        <v/>
      </c>
      <c r="M97" s="1118">
        <f t="shared" si="16"/>
        <v>0</v>
      </c>
      <c r="N97" s="976"/>
      <c r="O97" s="1119">
        <f t="shared" si="12"/>
        <v>0</v>
      </c>
      <c r="P97" s="1119">
        <f t="shared" si="21"/>
        <v>0</v>
      </c>
      <c r="Q97" s="1119">
        <f t="shared" si="21"/>
        <v>0</v>
      </c>
      <c r="R97" s="1119">
        <f t="shared" si="21"/>
        <v>0</v>
      </c>
      <c r="S97" s="1119">
        <f t="shared" si="21"/>
        <v>0</v>
      </c>
      <c r="T97" s="1119">
        <f t="shared" si="21"/>
        <v>0</v>
      </c>
      <c r="U97" s="1119">
        <f t="shared" si="21"/>
        <v>0</v>
      </c>
      <c r="V97" s="1119">
        <f t="shared" si="21"/>
        <v>0</v>
      </c>
      <c r="W97" s="1119">
        <f t="shared" si="21"/>
        <v>0</v>
      </c>
      <c r="X97" s="978"/>
      <c r="Y97" s="1120">
        <f t="shared" si="17"/>
        <v>0</v>
      </c>
      <c r="Z97" s="1354"/>
      <c r="AA97" s="1001">
        <v>0</v>
      </c>
      <c r="AB97" s="978"/>
      <c r="AC97" s="1036">
        <f t="shared" si="18"/>
        <v>0</v>
      </c>
      <c r="AD97" s="783">
        <f t="shared" si="19"/>
        <v>0</v>
      </c>
      <c r="AE97" s="1321"/>
      <c r="AF97" s="1322"/>
      <c r="AG97" s="740"/>
    </row>
    <row r="98" spans="1:33">
      <c r="A98" s="96">
        <v>300222</v>
      </c>
      <c r="B98" s="1286" t="s">
        <v>80</v>
      </c>
      <c r="C98" s="782">
        <f>'TAR_Tab 2_Volumina'!N101</f>
        <v>1</v>
      </c>
      <c r="D98" s="976"/>
      <c r="E98" s="1318">
        <v>17861.01390568259</v>
      </c>
      <c r="F98" s="1116">
        <f t="shared" si="13"/>
        <v>16996.540832647552</v>
      </c>
      <c r="G98" s="1116">
        <f t="shared" si="14"/>
        <v>17393.767082242914</v>
      </c>
      <c r="H98" s="976"/>
      <c r="I98" s="1117">
        <f t="shared" si="20"/>
        <v>16524.078728130768</v>
      </c>
      <c r="J98" s="1117">
        <f t="shared" si="20"/>
        <v>18263.45543635506</v>
      </c>
      <c r="K98" s="1320"/>
      <c r="L98" s="1000" t="str">
        <f t="shared" si="15"/>
        <v/>
      </c>
      <c r="M98" s="1118">
        <f t="shared" si="16"/>
        <v>17393.767082242914</v>
      </c>
      <c r="N98" s="976"/>
      <c r="O98" s="1119">
        <f t="shared" si="12"/>
        <v>-806.68567480189563</v>
      </c>
      <c r="P98" s="1119">
        <f t="shared" si="21"/>
        <v>834.70472044811856</v>
      </c>
      <c r="Q98" s="1119">
        <f t="shared" si="21"/>
        <v>0</v>
      </c>
      <c r="R98" s="1119">
        <f t="shared" si="21"/>
        <v>31.44541525601797</v>
      </c>
      <c r="S98" s="1119">
        <f t="shared" si="21"/>
        <v>728.26984823413966</v>
      </c>
      <c r="T98" s="1119">
        <f t="shared" si="21"/>
        <v>-95.309108646485171</v>
      </c>
      <c r="U98" s="1119">
        <f t="shared" si="21"/>
        <v>-3.5856362779786122</v>
      </c>
      <c r="V98" s="1119">
        <f t="shared" si="21"/>
        <v>-296.46925773814843</v>
      </c>
      <c r="W98" s="1119">
        <f t="shared" si="21"/>
        <v>23.392442910364515</v>
      </c>
      <c r="X98" s="978"/>
      <c r="Y98" s="1120">
        <f t="shared" si="17"/>
        <v>17809.529831627045</v>
      </c>
      <c r="Z98" s="1354"/>
      <c r="AA98" s="1001">
        <v>7.4895366046377795E-2</v>
      </c>
      <c r="AB98" s="978"/>
      <c r="AC98" s="1036">
        <f t="shared" si="18"/>
        <v>7.4895366046377795E-2</v>
      </c>
      <c r="AD98" s="783">
        <f t="shared" si="19"/>
        <v>7.4999999999999997E-2</v>
      </c>
      <c r="AE98" s="1321"/>
      <c r="AF98" s="1322"/>
      <c r="AG98" s="740"/>
    </row>
    <row r="99" spans="1:33">
      <c r="A99" s="96">
        <v>300223</v>
      </c>
      <c r="B99" s="1286" t="s">
        <v>271</v>
      </c>
      <c r="C99" s="782">
        <f>'TAR_Tab 2_Volumina'!N102</f>
        <v>0</v>
      </c>
      <c r="D99" s="976"/>
      <c r="E99" s="1318">
        <v>0</v>
      </c>
      <c r="F99" s="1116">
        <f t="shared" si="13"/>
        <v>0</v>
      </c>
      <c r="G99" s="1116">
        <f t="shared" si="14"/>
        <v>0</v>
      </c>
      <c r="H99" s="976"/>
      <c r="I99" s="1117">
        <f t="shared" si="20"/>
        <v>0</v>
      </c>
      <c r="J99" s="1117">
        <f t="shared" si="20"/>
        <v>0</v>
      </c>
      <c r="K99" s="1320"/>
      <c r="L99" s="1000" t="str">
        <f t="shared" si="15"/>
        <v/>
      </c>
      <c r="M99" s="1118">
        <f t="shared" si="16"/>
        <v>0</v>
      </c>
      <c r="N99" s="976"/>
      <c r="O99" s="1119">
        <f t="shared" si="12"/>
        <v>0</v>
      </c>
      <c r="P99" s="1119">
        <f t="shared" si="21"/>
        <v>0</v>
      </c>
      <c r="Q99" s="1119">
        <f t="shared" si="21"/>
        <v>0</v>
      </c>
      <c r="R99" s="1119">
        <f t="shared" si="21"/>
        <v>0</v>
      </c>
      <c r="S99" s="1119">
        <f t="shared" si="21"/>
        <v>0</v>
      </c>
      <c r="T99" s="1119">
        <f t="shared" si="21"/>
        <v>0</v>
      </c>
      <c r="U99" s="1119">
        <f t="shared" si="21"/>
        <v>0</v>
      </c>
      <c r="V99" s="1119">
        <f t="shared" si="21"/>
        <v>0</v>
      </c>
      <c r="W99" s="1119">
        <f t="shared" si="21"/>
        <v>0</v>
      </c>
      <c r="X99" s="978"/>
      <c r="Y99" s="1120">
        <f t="shared" si="17"/>
        <v>0</v>
      </c>
      <c r="Z99" s="1354"/>
      <c r="AA99" s="1001">
        <v>0</v>
      </c>
      <c r="AB99" s="978"/>
      <c r="AC99" s="1036">
        <f t="shared" si="18"/>
        <v>0</v>
      </c>
      <c r="AD99" s="783">
        <f t="shared" si="19"/>
        <v>0</v>
      </c>
      <c r="AE99" s="1321"/>
      <c r="AF99" s="1322"/>
      <c r="AG99" s="740"/>
    </row>
    <row r="100" spans="1:33">
      <c r="A100" s="96">
        <v>300225</v>
      </c>
      <c r="B100" s="1286" t="s">
        <v>81</v>
      </c>
      <c r="C100" s="782">
        <f>'TAR_Tab 2_Volumina'!N103</f>
        <v>0</v>
      </c>
      <c r="D100" s="976"/>
      <c r="E100" s="1318">
        <v>0</v>
      </c>
      <c r="F100" s="1116">
        <f t="shared" si="13"/>
        <v>0</v>
      </c>
      <c r="G100" s="1116">
        <f t="shared" si="14"/>
        <v>0</v>
      </c>
      <c r="H100" s="976"/>
      <c r="I100" s="1117">
        <f t="shared" si="20"/>
        <v>0</v>
      </c>
      <c r="J100" s="1117">
        <f t="shared" si="20"/>
        <v>0</v>
      </c>
      <c r="K100" s="1320"/>
      <c r="L100" s="1000" t="str">
        <f t="shared" si="15"/>
        <v/>
      </c>
      <c r="M100" s="1118">
        <f t="shared" si="16"/>
        <v>0</v>
      </c>
      <c r="N100" s="976"/>
      <c r="O100" s="1119">
        <f t="shared" si="12"/>
        <v>0</v>
      </c>
      <c r="P100" s="1119">
        <f t="shared" si="21"/>
        <v>0</v>
      </c>
      <c r="Q100" s="1119">
        <f t="shared" si="21"/>
        <v>0</v>
      </c>
      <c r="R100" s="1119">
        <f t="shared" si="21"/>
        <v>0</v>
      </c>
      <c r="S100" s="1119">
        <f t="shared" si="21"/>
        <v>0</v>
      </c>
      <c r="T100" s="1119">
        <f t="shared" si="21"/>
        <v>0</v>
      </c>
      <c r="U100" s="1119">
        <f t="shared" si="21"/>
        <v>0</v>
      </c>
      <c r="V100" s="1119">
        <f t="shared" si="21"/>
        <v>0</v>
      </c>
      <c r="W100" s="1119">
        <f t="shared" si="21"/>
        <v>0</v>
      </c>
      <c r="X100" s="978"/>
      <c r="Y100" s="1120">
        <f t="shared" si="17"/>
        <v>0</v>
      </c>
      <c r="Z100" s="1354"/>
      <c r="AA100" s="1001">
        <v>0</v>
      </c>
      <c r="AB100" s="978"/>
      <c r="AC100" s="1036">
        <f t="shared" si="18"/>
        <v>0</v>
      </c>
      <c r="AD100" s="783">
        <f t="shared" si="19"/>
        <v>0</v>
      </c>
      <c r="AE100" s="1321"/>
      <c r="AF100" s="1322"/>
      <c r="AG100" s="740"/>
    </row>
    <row r="101" spans="1:33">
      <c r="A101" s="96">
        <v>300227</v>
      </c>
      <c r="B101" s="1286" t="s">
        <v>760</v>
      </c>
      <c r="C101" s="782">
        <f>'TAR_Tab 2_Volumina'!N104</f>
        <v>0</v>
      </c>
      <c r="D101" s="976"/>
      <c r="E101" s="1318">
        <v>0</v>
      </c>
      <c r="F101" s="1116">
        <f t="shared" si="13"/>
        <v>0</v>
      </c>
      <c r="G101" s="1116">
        <f t="shared" si="14"/>
        <v>0</v>
      </c>
      <c r="H101" s="976"/>
      <c r="I101" s="1117">
        <f t="shared" si="20"/>
        <v>0</v>
      </c>
      <c r="J101" s="1117">
        <f t="shared" si="20"/>
        <v>0</v>
      </c>
      <c r="K101" s="1320"/>
      <c r="L101" s="1000" t="str">
        <f t="shared" si="15"/>
        <v/>
      </c>
      <c r="M101" s="1118">
        <f t="shared" si="16"/>
        <v>0</v>
      </c>
      <c r="N101" s="976"/>
      <c r="O101" s="1119">
        <f t="shared" si="12"/>
        <v>0</v>
      </c>
      <c r="P101" s="1119">
        <f t="shared" si="21"/>
        <v>0</v>
      </c>
      <c r="Q101" s="1119">
        <f t="shared" si="21"/>
        <v>0</v>
      </c>
      <c r="R101" s="1119">
        <f t="shared" si="21"/>
        <v>0</v>
      </c>
      <c r="S101" s="1119">
        <f t="shared" si="21"/>
        <v>0</v>
      </c>
      <c r="T101" s="1119">
        <f t="shared" si="21"/>
        <v>0</v>
      </c>
      <c r="U101" s="1119">
        <f t="shared" si="21"/>
        <v>0</v>
      </c>
      <c r="V101" s="1119">
        <f t="shared" si="21"/>
        <v>0</v>
      </c>
      <c r="W101" s="1119">
        <f t="shared" si="21"/>
        <v>0</v>
      </c>
      <c r="X101" s="978"/>
      <c r="Y101" s="1120">
        <f t="shared" si="17"/>
        <v>0</v>
      </c>
      <c r="Z101" s="1354"/>
      <c r="AA101" s="1001">
        <v>0</v>
      </c>
      <c r="AB101" s="978"/>
      <c r="AC101" s="1036">
        <f t="shared" si="18"/>
        <v>0</v>
      </c>
      <c r="AD101" s="783">
        <f t="shared" si="19"/>
        <v>0</v>
      </c>
      <c r="AE101" s="1321"/>
      <c r="AF101" s="1322"/>
      <c r="AG101" s="740"/>
    </row>
    <row r="102" spans="1:33">
      <c r="A102" s="96">
        <v>300228</v>
      </c>
      <c r="B102" s="1286" t="s">
        <v>761</v>
      </c>
      <c r="C102" s="782">
        <f>'TAR_Tab 2_Volumina'!N105</f>
        <v>0</v>
      </c>
      <c r="D102" s="976"/>
      <c r="E102" s="1318">
        <v>0</v>
      </c>
      <c r="F102" s="1116">
        <f t="shared" si="13"/>
        <v>0</v>
      </c>
      <c r="G102" s="1116">
        <f t="shared" si="14"/>
        <v>0</v>
      </c>
      <c r="H102" s="976"/>
      <c r="I102" s="1117">
        <f t="shared" si="20"/>
        <v>0</v>
      </c>
      <c r="J102" s="1117">
        <f t="shared" si="20"/>
        <v>0</v>
      </c>
      <c r="K102" s="1320"/>
      <c r="L102" s="1000" t="str">
        <f t="shared" si="15"/>
        <v/>
      </c>
      <c r="M102" s="1118">
        <f t="shared" si="16"/>
        <v>0</v>
      </c>
      <c r="N102" s="976"/>
      <c r="O102" s="1119">
        <f t="shared" si="12"/>
        <v>0</v>
      </c>
      <c r="P102" s="1119">
        <f t="shared" si="21"/>
        <v>0</v>
      </c>
      <c r="Q102" s="1119">
        <f t="shared" si="21"/>
        <v>0</v>
      </c>
      <c r="R102" s="1119">
        <f t="shared" si="21"/>
        <v>0</v>
      </c>
      <c r="S102" s="1119">
        <f t="shared" si="21"/>
        <v>0</v>
      </c>
      <c r="T102" s="1119">
        <f t="shared" si="21"/>
        <v>0</v>
      </c>
      <c r="U102" s="1119">
        <f t="shared" si="21"/>
        <v>0</v>
      </c>
      <c r="V102" s="1119">
        <f t="shared" si="21"/>
        <v>0</v>
      </c>
      <c r="W102" s="1119">
        <f t="shared" si="21"/>
        <v>0</v>
      </c>
      <c r="X102" s="978"/>
      <c r="Y102" s="1120">
        <f t="shared" si="17"/>
        <v>0</v>
      </c>
      <c r="Z102" s="1354"/>
      <c r="AA102" s="1001">
        <v>0</v>
      </c>
      <c r="AB102" s="978"/>
      <c r="AC102" s="1036">
        <f t="shared" si="18"/>
        <v>0</v>
      </c>
      <c r="AD102" s="783">
        <f t="shared" si="19"/>
        <v>0</v>
      </c>
      <c r="AE102" s="1321"/>
      <c r="AF102" s="1322"/>
      <c r="AG102" s="740"/>
    </row>
    <row r="103" spans="1:33">
      <c r="A103" s="96">
        <v>300231</v>
      </c>
      <c r="B103" s="1286" t="s">
        <v>762</v>
      </c>
      <c r="C103" s="782">
        <f>'TAR_Tab 2_Volumina'!N106</f>
        <v>0</v>
      </c>
      <c r="D103" s="976"/>
      <c r="E103" s="1318">
        <v>0</v>
      </c>
      <c r="F103" s="1116">
        <f t="shared" si="13"/>
        <v>0</v>
      </c>
      <c r="G103" s="1116">
        <f t="shared" si="14"/>
        <v>0</v>
      </c>
      <c r="H103" s="976"/>
      <c r="I103" s="1117">
        <f t="shared" si="20"/>
        <v>0</v>
      </c>
      <c r="J103" s="1117">
        <f t="shared" si="20"/>
        <v>0</v>
      </c>
      <c r="K103" s="1320"/>
      <c r="L103" s="1000" t="str">
        <f t="shared" si="15"/>
        <v/>
      </c>
      <c r="M103" s="1118">
        <f t="shared" si="16"/>
        <v>0</v>
      </c>
      <c r="N103" s="976"/>
      <c r="O103" s="1119">
        <f t="shared" si="12"/>
        <v>0</v>
      </c>
      <c r="P103" s="1119">
        <f t="shared" si="21"/>
        <v>0</v>
      </c>
      <c r="Q103" s="1119">
        <f t="shared" si="21"/>
        <v>0</v>
      </c>
      <c r="R103" s="1119">
        <f t="shared" si="21"/>
        <v>0</v>
      </c>
      <c r="S103" s="1119">
        <f t="shared" si="21"/>
        <v>0</v>
      </c>
      <c r="T103" s="1119">
        <f t="shared" si="21"/>
        <v>0</v>
      </c>
      <c r="U103" s="1119">
        <f t="shared" si="21"/>
        <v>0</v>
      </c>
      <c r="V103" s="1119">
        <f t="shared" si="21"/>
        <v>0</v>
      </c>
      <c r="W103" s="1119">
        <f t="shared" si="21"/>
        <v>0</v>
      </c>
      <c r="X103" s="978"/>
      <c r="Y103" s="1120">
        <f t="shared" si="17"/>
        <v>0</v>
      </c>
      <c r="Z103" s="1354"/>
      <c r="AA103" s="1001">
        <v>0</v>
      </c>
      <c r="AB103" s="978"/>
      <c r="AC103" s="1036">
        <f t="shared" si="18"/>
        <v>0</v>
      </c>
      <c r="AD103" s="783">
        <f t="shared" si="19"/>
        <v>0</v>
      </c>
      <c r="AE103" s="1321"/>
      <c r="AF103" s="1322"/>
      <c r="AG103" s="740"/>
    </row>
    <row r="104" spans="1:33">
      <c r="A104" s="96">
        <v>300234</v>
      </c>
      <c r="B104" s="1286" t="s">
        <v>82</v>
      </c>
      <c r="C104" s="782">
        <f>'TAR_Tab 2_Volumina'!N107</f>
        <v>1</v>
      </c>
      <c r="D104" s="976"/>
      <c r="E104" s="1318">
        <v>17861.01390568259</v>
      </c>
      <c r="F104" s="1116">
        <f t="shared" si="13"/>
        <v>16996.540832647552</v>
      </c>
      <c r="G104" s="1116">
        <f t="shared" si="14"/>
        <v>17393.767082242914</v>
      </c>
      <c r="H104" s="976"/>
      <c r="I104" s="1117">
        <f t="shared" si="20"/>
        <v>16524.078728130768</v>
      </c>
      <c r="J104" s="1117">
        <f t="shared" si="20"/>
        <v>18263.45543635506</v>
      </c>
      <c r="K104" s="1320"/>
      <c r="L104" s="1000" t="str">
        <f t="shared" si="15"/>
        <v/>
      </c>
      <c r="M104" s="1118">
        <f t="shared" si="16"/>
        <v>17393.767082242914</v>
      </c>
      <c r="N104" s="976"/>
      <c r="O104" s="1119">
        <f t="shared" si="12"/>
        <v>-806.68567480189563</v>
      </c>
      <c r="P104" s="1119">
        <f t="shared" si="21"/>
        <v>834.70472044811856</v>
      </c>
      <c r="Q104" s="1119">
        <f t="shared" si="21"/>
        <v>0</v>
      </c>
      <c r="R104" s="1119">
        <f t="shared" si="21"/>
        <v>31.44541525601797</v>
      </c>
      <c r="S104" s="1119">
        <f t="shared" si="21"/>
        <v>728.26984823413966</v>
      </c>
      <c r="T104" s="1119">
        <f t="shared" si="21"/>
        <v>-95.309108646485171</v>
      </c>
      <c r="U104" s="1119">
        <f t="shared" si="21"/>
        <v>-3.5856362779786122</v>
      </c>
      <c r="V104" s="1119">
        <f t="shared" si="21"/>
        <v>-296.46925773814843</v>
      </c>
      <c r="W104" s="1119">
        <f t="shared" si="21"/>
        <v>23.392442910364515</v>
      </c>
      <c r="X104" s="978"/>
      <c r="Y104" s="1120">
        <f t="shared" si="17"/>
        <v>17809.529831627045</v>
      </c>
      <c r="Z104" s="1354"/>
      <c r="AA104" s="1001">
        <v>0.12650668210704866</v>
      </c>
      <c r="AB104" s="978"/>
      <c r="AC104" s="1036">
        <f t="shared" si="18"/>
        <v>0.12650668210704866</v>
      </c>
      <c r="AD104" s="783">
        <f t="shared" si="19"/>
        <v>0.127</v>
      </c>
      <c r="AE104" s="1321"/>
      <c r="AF104" s="1322"/>
      <c r="AG104" s="740"/>
    </row>
    <row r="105" spans="1:33">
      <c r="A105" s="96">
        <v>300236</v>
      </c>
      <c r="B105" s="1286" t="s">
        <v>763</v>
      </c>
      <c r="C105" s="782">
        <f>'TAR_Tab 2_Volumina'!N108</f>
        <v>0</v>
      </c>
      <c r="D105" s="976"/>
      <c r="E105" s="1318">
        <v>0</v>
      </c>
      <c r="F105" s="1116">
        <f t="shared" si="13"/>
        <v>0</v>
      </c>
      <c r="G105" s="1116">
        <f t="shared" si="14"/>
        <v>0</v>
      </c>
      <c r="H105" s="976"/>
      <c r="I105" s="1117">
        <f t="shared" si="20"/>
        <v>0</v>
      </c>
      <c r="J105" s="1117">
        <f t="shared" si="20"/>
        <v>0</v>
      </c>
      <c r="K105" s="1320"/>
      <c r="L105" s="1000" t="str">
        <f t="shared" si="15"/>
        <v/>
      </c>
      <c r="M105" s="1118">
        <f t="shared" si="16"/>
        <v>0</v>
      </c>
      <c r="N105" s="976"/>
      <c r="O105" s="1119">
        <f t="shared" si="12"/>
        <v>0</v>
      </c>
      <c r="P105" s="1119">
        <f t="shared" si="21"/>
        <v>0</v>
      </c>
      <c r="Q105" s="1119">
        <f t="shared" si="21"/>
        <v>0</v>
      </c>
      <c r="R105" s="1119">
        <f t="shared" si="21"/>
        <v>0</v>
      </c>
      <c r="S105" s="1119">
        <f t="shared" si="21"/>
        <v>0</v>
      </c>
      <c r="T105" s="1119">
        <f t="shared" si="21"/>
        <v>0</v>
      </c>
      <c r="U105" s="1119">
        <f t="shared" si="21"/>
        <v>0</v>
      </c>
      <c r="V105" s="1119">
        <f t="shared" si="21"/>
        <v>0</v>
      </c>
      <c r="W105" s="1119">
        <f t="shared" si="21"/>
        <v>0</v>
      </c>
      <c r="X105" s="978"/>
      <c r="Y105" s="1120">
        <f t="shared" si="17"/>
        <v>0</v>
      </c>
      <c r="Z105" s="1354"/>
      <c r="AA105" s="1001">
        <v>0</v>
      </c>
      <c r="AB105" s="978"/>
      <c r="AC105" s="1036">
        <f t="shared" si="18"/>
        <v>0</v>
      </c>
      <c r="AD105" s="783">
        <f t="shared" si="19"/>
        <v>0</v>
      </c>
      <c r="AE105" s="1321"/>
      <c r="AF105" s="1322"/>
      <c r="AG105" s="740"/>
    </row>
    <row r="106" spans="1:33">
      <c r="A106" s="96">
        <v>300241</v>
      </c>
      <c r="B106" s="1286" t="s">
        <v>764</v>
      </c>
      <c r="C106" s="782">
        <f>'TAR_Tab 2_Volumina'!N109</f>
        <v>0</v>
      </c>
      <c r="D106" s="976"/>
      <c r="E106" s="1318">
        <v>0</v>
      </c>
      <c r="F106" s="1116">
        <f t="shared" si="13"/>
        <v>0</v>
      </c>
      <c r="G106" s="1116">
        <f t="shared" si="14"/>
        <v>0</v>
      </c>
      <c r="H106" s="976"/>
      <c r="I106" s="1117">
        <f t="shared" si="20"/>
        <v>0</v>
      </c>
      <c r="J106" s="1117">
        <f t="shared" si="20"/>
        <v>0</v>
      </c>
      <c r="K106" s="1320"/>
      <c r="L106" s="1000" t="str">
        <f t="shared" si="15"/>
        <v/>
      </c>
      <c r="M106" s="1118">
        <f t="shared" si="16"/>
        <v>0</v>
      </c>
      <c r="N106" s="976"/>
      <c r="O106" s="1119">
        <f t="shared" si="12"/>
        <v>0</v>
      </c>
      <c r="P106" s="1119">
        <f t="shared" si="21"/>
        <v>0</v>
      </c>
      <c r="Q106" s="1119">
        <f t="shared" si="21"/>
        <v>0</v>
      </c>
      <c r="R106" s="1119">
        <f t="shared" si="21"/>
        <v>0</v>
      </c>
      <c r="S106" s="1119">
        <f t="shared" si="21"/>
        <v>0</v>
      </c>
      <c r="T106" s="1119">
        <f t="shared" si="21"/>
        <v>0</v>
      </c>
      <c r="U106" s="1119">
        <f t="shared" si="21"/>
        <v>0</v>
      </c>
      <c r="V106" s="1119">
        <f t="shared" si="21"/>
        <v>0</v>
      </c>
      <c r="W106" s="1119">
        <f t="shared" si="21"/>
        <v>0</v>
      </c>
      <c r="X106" s="978"/>
      <c r="Y106" s="1120">
        <f t="shared" si="17"/>
        <v>0</v>
      </c>
      <c r="Z106" s="1354"/>
      <c r="AA106" s="1001">
        <v>0</v>
      </c>
      <c r="AB106" s="978"/>
      <c r="AC106" s="1036">
        <f t="shared" si="18"/>
        <v>0</v>
      </c>
      <c r="AD106" s="783">
        <f t="shared" si="19"/>
        <v>0</v>
      </c>
      <c r="AE106" s="1321"/>
      <c r="AF106" s="1322"/>
      <c r="AG106" s="740"/>
    </row>
    <row r="107" spans="1:33">
      <c r="A107" s="96">
        <v>300242</v>
      </c>
      <c r="B107" s="1286" t="s">
        <v>83</v>
      </c>
      <c r="C107" s="782">
        <f>'TAR_Tab 2_Volumina'!N110</f>
        <v>0</v>
      </c>
      <c r="D107" s="976"/>
      <c r="E107" s="1318">
        <v>0</v>
      </c>
      <c r="F107" s="1116">
        <f t="shared" si="13"/>
        <v>0</v>
      </c>
      <c r="G107" s="1116">
        <f t="shared" si="14"/>
        <v>0</v>
      </c>
      <c r="H107" s="976"/>
      <c r="I107" s="1117">
        <f t="shared" si="20"/>
        <v>0</v>
      </c>
      <c r="J107" s="1117">
        <f t="shared" si="20"/>
        <v>0</v>
      </c>
      <c r="K107" s="1320"/>
      <c r="L107" s="1000" t="str">
        <f t="shared" si="15"/>
        <v/>
      </c>
      <c r="M107" s="1118">
        <f t="shared" si="16"/>
        <v>0</v>
      </c>
      <c r="N107" s="976"/>
      <c r="O107" s="1119">
        <f t="shared" si="12"/>
        <v>0</v>
      </c>
      <c r="P107" s="1119">
        <f t="shared" si="21"/>
        <v>0</v>
      </c>
      <c r="Q107" s="1119">
        <f t="shared" si="21"/>
        <v>0</v>
      </c>
      <c r="R107" s="1119">
        <f t="shared" si="21"/>
        <v>0</v>
      </c>
      <c r="S107" s="1119">
        <f t="shared" si="21"/>
        <v>0</v>
      </c>
      <c r="T107" s="1119">
        <f t="shared" si="21"/>
        <v>0</v>
      </c>
      <c r="U107" s="1119">
        <f t="shared" si="21"/>
        <v>0</v>
      </c>
      <c r="V107" s="1119">
        <f t="shared" si="21"/>
        <v>0</v>
      </c>
      <c r="W107" s="1119">
        <f t="shared" si="21"/>
        <v>0</v>
      </c>
      <c r="X107" s="978"/>
      <c r="Y107" s="1120">
        <f t="shared" si="17"/>
        <v>0</v>
      </c>
      <c r="Z107" s="1354"/>
      <c r="AA107" s="1001">
        <v>0</v>
      </c>
      <c r="AB107" s="978"/>
      <c r="AC107" s="1036">
        <f t="shared" si="18"/>
        <v>0</v>
      </c>
      <c r="AD107" s="783">
        <f t="shared" si="19"/>
        <v>0</v>
      </c>
      <c r="AE107" s="1321"/>
      <c r="AF107" s="1322"/>
      <c r="AG107" s="740"/>
    </row>
    <row r="108" spans="1:33">
      <c r="A108" s="96">
        <v>300245</v>
      </c>
      <c r="B108" s="1286" t="s">
        <v>765</v>
      </c>
      <c r="C108" s="782">
        <f>'TAR_Tab 2_Volumina'!N111</f>
        <v>0</v>
      </c>
      <c r="D108" s="976"/>
      <c r="E108" s="1318">
        <v>0</v>
      </c>
      <c r="F108" s="1116">
        <f t="shared" si="13"/>
        <v>0</v>
      </c>
      <c r="G108" s="1116">
        <f t="shared" si="14"/>
        <v>0</v>
      </c>
      <c r="H108" s="976"/>
      <c r="I108" s="1117">
        <f t="shared" si="20"/>
        <v>0</v>
      </c>
      <c r="J108" s="1117">
        <f t="shared" si="20"/>
        <v>0</v>
      </c>
      <c r="K108" s="1320"/>
      <c r="L108" s="1000" t="str">
        <f t="shared" si="15"/>
        <v/>
      </c>
      <c r="M108" s="1118">
        <f t="shared" si="16"/>
        <v>0</v>
      </c>
      <c r="N108" s="976"/>
      <c r="O108" s="1119">
        <f t="shared" si="12"/>
        <v>0</v>
      </c>
      <c r="P108" s="1119">
        <f t="shared" si="21"/>
        <v>0</v>
      </c>
      <c r="Q108" s="1119">
        <f t="shared" si="21"/>
        <v>0</v>
      </c>
      <c r="R108" s="1119">
        <f t="shared" si="21"/>
        <v>0</v>
      </c>
      <c r="S108" s="1119">
        <f t="shared" si="21"/>
        <v>0</v>
      </c>
      <c r="T108" s="1119">
        <f t="shared" si="21"/>
        <v>0</v>
      </c>
      <c r="U108" s="1119">
        <f t="shared" si="21"/>
        <v>0</v>
      </c>
      <c r="V108" s="1119">
        <f t="shared" si="21"/>
        <v>0</v>
      </c>
      <c r="W108" s="1119">
        <f t="shared" si="21"/>
        <v>0</v>
      </c>
      <c r="X108" s="978"/>
      <c r="Y108" s="1120">
        <f t="shared" si="17"/>
        <v>0</v>
      </c>
      <c r="Z108" s="1354"/>
      <c r="AA108" s="1001">
        <v>0</v>
      </c>
      <c r="AB108" s="978"/>
      <c r="AC108" s="1036">
        <f t="shared" si="18"/>
        <v>0</v>
      </c>
      <c r="AD108" s="783">
        <f t="shared" si="19"/>
        <v>0</v>
      </c>
      <c r="AE108" s="1321"/>
      <c r="AF108" s="1322"/>
      <c r="AG108" s="740"/>
    </row>
    <row r="109" spans="1:33">
      <c r="A109" s="96">
        <v>300246</v>
      </c>
      <c r="B109" s="1286" t="s">
        <v>373</v>
      </c>
      <c r="C109" s="782">
        <f>'TAR_Tab 2_Volumina'!N112</f>
        <v>0</v>
      </c>
      <c r="D109" s="976"/>
      <c r="E109" s="1318">
        <v>0</v>
      </c>
      <c r="F109" s="1116">
        <f t="shared" si="13"/>
        <v>0</v>
      </c>
      <c r="G109" s="1116">
        <f t="shared" si="14"/>
        <v>0</v>
      </c>
      <c r="H109" s="976"/>
      <c r="I109" s="1117">
        <f t="shared" si="20"/>
        <v>0</v>
      </c>
      <c r="J109" s="1117">
        <f t="shared" si="20"/>
        <v>0</v>
      </c>
      <c r="K109" s="1320"/>
      <c r="L109" s="1000" t="str">
        <f t="shared" si="15"/>
        <v/>
      </c>
      <c r="M109" s="1118">
        <f t="shared" si="16"/>
        <v>0</v>
      </c>
      <c r="N109" s="976"/>
      <c r="O109" s="1119">
        <f t="shared" si="12"/>
        <v>0</v>
      </c>
      <c r="P109" s="1119">
        <f t="shared" si="21"/>
        <v>0</v>
      </c>
      <c r="Q109" s="1119">
        <f t="shared" si="21"/>
        <v>0</v>
      </c>
      <c r="R109" s="1119">
        <f t="shared" si="21"/>
        <v>0</v>
      </c>
      <c r="S109" s="1119">
        <f t="shared" si="21"/>
        <v>0</v>
      </c>
      <c r="T109" s="1119">
        <f t="shared" si="21"/>
        <v>0</v>
      </c>
      <c r="U109" s="1119">
        <f t="shared" si="21"/>
        <v>0</v>
      </c>
      <c r="V109" s="1119">
        <f t="shared" si="21"/>
        <v>0</v>
      </c>
      <c r="W109" s="1119">
        <f t="shared" si="21"/>
        <v>0</v>
      </c>
      <c r="X109" s="978"/>
      <c r="Y109" s="1120">
        <f t="shared" si="17"/>
        <v>0</v>
      </c>
      <c r="Z109" s="1354"/>
      <c r="AA109" s="1001">
        <v>0</v>
      </c>
      <c r="AB109" s="978"/>
      <c r="AC109" s="1036">
        <f t="shared" si="18"/>
        <v>0</v>
      </c>
      <c r="AD109" s="783">
        <f t="shared" si="19"/>
        <v>0</v>
      </c>
      <c r="AE109" s="1321"/>
      <c r="AF109" s="1322"/>
      <c r="AG109" s="740"/>
    </row>
    <row r="110" spans="1:33">
      <c r="A110" s="96">
        <v>300249</v>
      </c>
      <c r="B110" s="1286" t="s">
        <v>272</v>
      </c>
      <c r="C110" s="782">
        <f>'TAR_Tab 2_Volumina'!N113</f>
        <v>1</v>
      </c>
      <c r="D110" s="976"/>
      <c r="E110" s="1318">
        <v>35722.02781136518</v>
      </c>
      <c r="F110" s="1116">
        <f t="shared" si="13"/>
        <v>33993.081665295103</v>
      </c>
      <c r="G110" s="1116">
        <f t="shared" si="14"/>
        <v>34787.534164485827</v>
      </c>
      <c r="H110" s="976"/>
      <c r="I110" s="1117">
        <f t="shared" si="20"/>
        <v>33048.157456261535</v>
      </c>
      <c r="J110" s="1117">
        <f t="shared" si="20"/>
        <v>36526.910872710119</v>
      </c>
      <c r="K110" s="1320"/>
      <c r="L110" s="1000" t="str">
        <f t="shared" si="15"/>
        <v/>
      </c>
      <c r="M110" s="1118">
        <f t="shared" si="16"/>
        <v>34787.534164485827</v>
      </c>
      <c r="N110" s="976"/>
      <c r="O110" s="1119">
        <f t="shared" si="12"/>
        <v>-1613.3713496037913</v>
      </c>
      <c r="P110" s="1119">
        <f t="shared" si="21"/>
        <v>1669.4094408962371</v>
      </c>
      <c r="Q110" s="1119">
        <f t="shared" si="21"/>
        <v>0</v>
      </c>
      <c r="R110" s="1119">
        <f t="shared" si="21"/>
        <v>62.89083051203594</v>
      </c>
      <c r="S110" s="1119">
        <f t="shared" si="21"/>
        <v>1456.5396964682793</v>
      </c>
      <c r="T110" s="1119">
        <f t="shared" si="21"/>
        <v>-190.61821729297034</v>
      </c>
      <c r="U110" s="1119">
        <f t="shared" si="21"/>
        <v>-7.1712725559572243</v>
      </c>
      <c r="V110" s="1119">
        <f t="shared" si="21"/>
        <v>-592.93851547629686</v>
      </c>
      <c r="W110" s="1119">
        <f t="shared" si="21"/>
        <v>46.784885820729031</v>
      </c>
      <c r="X110" s="978"/>
      <c r="Y110" s="1120">
        <f t="shared" si="17"/>
        <v>35619.059663254091</v>
      </c>
      <c r="Z110" s="1354"/>
      <c r="AA110" s="1001">
        <v>0.21759581250313764</v>
      </c>
      <c r="AB110" s="978"/>
      <c r="AC110" s="1036">
        <f t="shared" si="18"/>
        <v>0.21759581250313764</v>
      </c>
      <c r="AD110" s="783">
        <f t="shared" si="19"/>
        <v>0.218</v>
      </c>
      <c r="AE110" s="1321"/>
      <c r="AF110" s="1322"/>
      <c r="AG110" s="740"/>
    </row>
    <row r="111" spans="1:33">
      <c r="A111" s="96">
        <v>300250</v>
      </c>
      <c r="B111" s="1286" t="s">
        <v>650</v>
      </c>
      <c r="C111" s="782">
        <f>'TAR_Tab 2_Volumina'!N114</f>
        <v>0</v>
      </c>
      <c r="D111" s="976"/>
      <c r="E111" s="1318">
        <v>0</v>
      </c>
      <c r="F111" s="1116">
        <f t="shared" si="13"/>
        <v>0</v>
      </c>
      <c r="G111" s="1116">
        <f t="shared" si="14"/>
        <v>0</v>
      </c>
      <c r="H111" s="976"/>
      <c r="I111" s="1117">
        <f t="shared" si="20"/>
        <v>0</v>
      </c>
      <c r="J111" s="1117">
        <f t="shared" si="20"/>
        <v>0</v>
      </c>
      <c r="K111" s="1320"/>
      <c r="L111" s="1000" t="str">
        <f t="shared" si="15"/>
        <v/>
      </c>
      <c r="M111" s="1118">
        <f t="shared" si="16"/>
        <v>0</v>
      </c>
      <c r="N111" s="976"/>
      <c r="O111" s="1119">
        <f t="shared" si="12"/>
        <v>0</v>
      </c>
      <c r="P111" s="1119">
        <f t="shared" si="21"/>
        <v>0</v>
      </c>
      <c r="Q111" s="1119">
        <f t="shared" si="21"/>
        <v>0</v>
      </c>
      <c r="R111" s="1119">
        <f t="shared" si="21"/>
        <v>0</v>
      </c>
      <c r="S111" s="1119">
        <f t="shared" si="21"/>
        <v>0</v>
      </c>
      <c r="T111" s="1119">
        <f t="shared" si="21"/>
        <v>0</v>
      </c>
      <c r="U111" s="1119">
        <f t="shared" si="21"/>
        <v>0</v>
      </c>
      <c r="V111" s="1119">
        <f t="shared" si="21"/>
        <v>0</v>
      </c>
      <c r="W111" s="1119">
        <f t="shared" si="21"/>
        <v>0</v>
      </c>
      <c r="X111" s="978"/>
      <c r="Y111" s="1120">
        <f t="shared" si="17"/>
        <v>0</v>
      </c>
      <c r="Z111" s="1354"/>
      <c r="AA111" s="1001">
        <v>0</v>
      </c>
      <c r="AB111" s="978"/>
      <c r="AC111" s="1036">
        <f t="shared" si="18"/>
        <v>0</v>
      </c>
      <c r="AD111" s="783">
        <f t="shared" si="19"/>
        <v>0</v>
      </c>
      <c r="AE111" s="1321"/>
      <c r="AF111" s="1322"/>
      <c r="AG111" s="740"/>
    </row>
    <row r="112" spans="1:33">
      <c r="A112" s="96">
        <v>300251</v>
      </c>
      <c r="B112" s="1286" t="s">
        <v>84</v>
      </c>
      <c r="C112" s="782">
        <f>'TAR_Tab 2_Volumina'!N115</f>
        <v>0</v>
      </c>
      <c r="D112" s="976"/>
      <c r="E112" s="1318">
        <v>0</v>
      </c>
      <c r="F112" s="1116">
        <f t="shared" si="13"/>
        <v>0</v>
      </c>
      <c r="G112" s="1116">
        <f t="shared" si="14"/>
        <v>0</v>
      </c>
      <c r="H112" s="976"/>
      <c r="I112" s="1117">
        <f t="shared" si="20"/>
        <v>0</v>
      </c>
      <c r="J112" s="1117">
        <f t="shared" si="20"/>
        <v>0</v>
      </c>
      <c r="K112" s="1320"/>
      <c r="L112" s="1000" t="str">
        <f t="shared" si="15"/>
        <v/>
      </c>
      <c r="M112" s="1118">
        <f t="shared" si="16"/>
        <v>0</v>
      </c>
      <c r="N112" s="976"/>
      <c r="O112" s="1119">
        <f t="shared" si="12"/>
        <v>0</v>
      </c>
      <c r="P112" s="1119">
        <f t="shared" si="21"/>
        <v>0</v>
      </c>
      <c r="Q112" s="1119">
        <f t="shared" si="21"/>
        <v>0</v>
      </c>
      <c r="R112" s="1119">
        <f t="shared" si="21"/>
        <v>0</v>
      </c>
      <c r="S112" s="1119">
        <f t="shared" si="21"/>
        <v>0</v>
      </c>
      <c r="T112" s="1119">
        <f t="shared" si="21"/>
        <v>0</v>
      </c>
      <c r="U112" s="1119">
        <f t="shared" si="21"/>
        <v>0</v>
      </c>
      <c r="V112" s="1119">
        <f t="shared" si="21"/>
        <v>0</v>
      </c>
      <c r="W112" s="1119">
        <f t="shared" si="21"/>
        <v>0</v>
      </c>
      <c r="X112" s="978"/>
      <c r="Y112" s="1120">
        <f t="shared" si="17"/>
        <v>0</v>
      </c>
      <c r="Z112" s="1354"/>
      <c r="AA112" s="1001">
        <v>0</v>
      </c>
      <c r="AB112" s="978"/>
      <c r="AC112" s="1036">
        <f t="shared" si="18"/>
        <v>0</v>
      </c>
      <c r="AD112" s="783">
        <f t="shared" si="19"/>
        <v>0</v>
      </c>
      <c r="AE112" s="1321"/>
      <c r="AF112" s="1322"/>
      <c r="AG112" s="740"/>
    </row>
    <row r="113" spans="1:33">
      <c r="A113" s="96">
        <v>300252</v>
      </c>
      <c r="B113" s="1286" t="s">
        <v>1199</v>
      </c>
      <c r="C113" s="782">
        <f>'TAR_Tab 2_Volumina'!N116</f>
        <v>0</v>
      </c>
      <c r="D113" s="976"/>
      <c r="E113" s="1318">
        <v>0</v>
      </c>
      <c r="F113" s="1116">
        <f t="shared" si="13"/>
        <v>0</v>
      </c>
      <c r="G113" s="1116">
        <f t="shared" si="14"/>
        <v>0</v>
      </c>
      <c r="H113" s="976"/>
      <c r="I113" s="1117">
        <f t="shared" si="20"/>
        <v>0</v>
      </c>
      <c r="J113" s="1117">
        <f t="shared" si="20"/>
        <v>0</v>
      </c>
      <c r="K113" s="1320"/>
      <c r="L113" s="1000" t="str">
        <f t="shared" si="15"/>
        <v/>
      </c>
      <c r="M113" s="1118">
        <f t="shared" si="16"/>
        <v>0</v>
      </c>
      <c r="N113" s="976"/>
      <c r="O113" s="1119">
        <f t="shared" si="12"/>
        <v>0</v>
      </c>
      <c r="P113" s="1119">
        <f t="shared" si="21"/>
        <v>0</v>
      </c>
      <c r="Q113" s="1119">
        <f t="shared" si="21"/>
        <v>0</v>
      </c>
      <c r="R113" s="1119">
        <f t="shared" si="21"/>
        <v>0</v>
      </c>
      <c r="S113" s="1119">
        <f t="shared" ref="P113:W145" si="22">$M113*S$5</f>
        <v>0</v>
      </c>
      <c r="T113" s="1119">
        <f t="shared" si="22"/>
        <v>0</v>
      </c>
      <c r="U113" s="1119">
        <f t="shared" si="22"/>
        <v>0</v>
      </c>
      <c r="V113" s="1119">
        <f t="shared" si="22"/>
        <v>0</v>
      </c>
      <c r="W113" s="1119">
        <f t="shared" si="22"/>
        <v>0</v>
      </c>
      <c r="X113" s="978"/>
      <c r="Y113" s="1120">
        <f t="shared" si="17"/>
        <v>0</v>
      </c>
      <c r="Z113" s="1354"/>
      <c r="AA113" s="1001">
        <v>0</v>
      </c>
      <c r="AB113" s="978"/>
      <c r="AC113" s="1036">
        <f t="shared" si="18"/>
        <v>0</v>
      </c>
      <c r="AD113" s="783">
        <f t="shared" si="19"/>
        <v>0</v>
      </c>
      <c r="AE113" s="1321"/>
      <c r="AF113" s="1322"/>
      <c r="AG113" s="740"/>
    </row>
    <row r="114" spans="1:33">
      <c r="A114" s="96">
        <v>300262</v>
      </c>
      <c r="B114" s="1286" t="s">
        <v>374</v>
      </c>
      <c r="C114" s="782">
        <f>'TAR_Tab 2_Volumina'!N117</f>
        <v>0</v>
      </c>
      <c r="D114" s="976"/>
      <c r="E114" s="1318">
        <v>0</v>
      </c>
      <c r="F114" s="1116">
        <f t="shared" si="13"/>
        <v>0</v>
      </c>
      <c r="G114" s="1116">
        <f t="shared" si="14"/>
        <v>0</v>
      </c>
      <c r="H114" s="976"/>
      <c r="I114" s="1117">
        <f t="shared" si="20"/>
        <v>0</v>
      </c>
      <c r="J114" s="1117">
        <f t="shared" si="20"/>
        <v>0</v>
      </c>
      <c r="K114" s="1320"/>
      <c r="L114" s="1000" t="str">
        <f t="shared" si="15"/>
        <v/>
      </c>
      <c r="M114" s="1118">
        <f t="shared" si="16"/>
        <v>0</v>
      </c>
      <c r="N114" s="976"/>
      <c r="O114" s="1119">
        <f t="shared" ref="O114:O177" si="23">$M114*O$5</f>
        <v>0</v>
      </c>
      <c r="P114" s="1119">
        <f t="shared" si="22"/>
        <v>0</v>
      </c>
      <c r="Q114" s="1119">
        <f t="shared" si="22"/>
        <v>0</v>
      </c>
      <c r="R114" s="1119">
        <f t="shared" si="22"/>
        <v>0</v>
      </c>
      <c r="S114" s="1119">
        <f t="shared" si="22"/>
        <v>0</v>
      </c>
      <c r="T114" s="1119">
        <f t="shared" si="22"/>
        <v>0</v>
      </c>
      <c r="U114" s="1119">
        <f t="shared" si="22"/>
        <v>0</v>
      </c>
      <c r="V114" s="1119">
        <f t="shared" si="22"/>
        <v>0</v>
      </c>
      <c r="W114" s="1119">
        <f t="shared" si="22"/>
        <v>0</v>
      </c>
      <c r="X114" s="978"/>
      <c r="Y114" s="1120">
        <f t="shared" si="17"/>
        <v>0</v>
      </c>
      <c r="Z114" s="1354"/>
      <c r="AA114" s="1001">
        <v>0</v>
      </c>
      <c r="AB114" s="978"/>
      <c r="AC114" s="1036">
        <f t="shared" si="18"/>
        <v>0</v>
      </c>
      <c r="AD114" s="783">
        <f t="shared" si="19"/>
        <v>0</v>
      </c>
      <c r="AE114" s="1321"/>
      <c r="AF114" s="1322"/>
      <c r="AG114" s="740"/>
    </row>
    <row r="115" spans="1:33">
      <c r="A115" s="96">
        <v>300263</v>
      </c>
      <c r="B115" s="1286" t="s">
        <v>273</v>
      </c>
      <c r="C115" s="782">
        <f>'TAR_Tab 2_Volumina'!N118</f>
        <v>1</v>
      </c>
      <c r="D115" s="976"/>
      <c r="E115" s="1318">
        <v>35722.02781136518</v>
      </c>
      <c r="F115" s="1116">
        <f t="shared" si="13"/>
        <v>33993.081665295103</v>
      </c>
      <c r="G115" s="1116">
        <f t="shared" si="14"/>
        <v>34787.534164485827</v>
      </c>
      <c r="H115" s="976"/>
      <c r="I115" s="1117">
        <f t="shared" si="20"/>
        <v>33048.157456261535</v>
      </c>
      <c r="J115" s="1117">
        <f t="shared" si="20"/>
        <v>36526.910872710119</v>
      </c>
      <c r="K115" s="1320"/>
      <c r="L115" s="1000" t="str">
        <f t="shared" si="15"/>
        <v/>
      </c>
      <c r="M115" s="1118">
        <f t="shared" si="16"/>
        <v>34787.534164485827</v>
      </c>
      <c r="N115" s="976"/>
      <c r="O115" s="1119">
        <f t="shared" si="23"/>
        <v>-1613.3713496037913</v>
      </c>
      <c r="P115" s="1119">
        <f t="shared" si="22"/>
        <v>1669.4094408962371</v>
      </c>
      <c r="Q115" s="1119">
        <f t="shared" si="22"/>
        <v>0</v>
      </c>
      <c r="R115" s="1119">
        <f t="shared" si="22"/>
        <v>62.89083051203594</v>
      </c>
      <c r="S115" s="1119">
        <f t="shared" si="22"/>
        <v>1456.5396964682793</v>
      </c>
      <c r="T115" s="1119">
        <f t="shared" si="22"/>
        <v>-190.61821729297034</v>
      </c>
      <c r="U115" s="1119">
        <f t="shared" si="22"/>
        <v>-7.1712725559572243</v>
      </c>
      <c r="V115" s="1119">
        <f t="shared" si="22"/>
        <v>-592.93851547629686</v>
      </c>
      <c r="W115" s="1119">
        <f t="shared" si="22"/>
        <v>46.784885820729031</v>
      </c>
      <c r="X115" s="978"/>
      <c r="Y115" s="1120">
        <f t="shared" si="17"/>
        <v>35619.059663254091</v>
      </c>
      <c r="Z115" s="1354"/>
      <c r="AA115" s="1001">
        <v>0.11646730995208195</v>
      </c>
      <c r="AB115" s="978"/>
      <c r="AC115" s="1036">
        <f t="shared" si="18"/>
        <v>0.11646730995208195</v>
      </c>
      <c r="AD115" s="783">
        <f t="shared" si="19"/>
        <v>0.11600000000000001</v>
      </c>
      <c r="AE115" s="1321"/>
      <c r="AF115" s="1322"/>
      <c r="AG115" s="740"/>
    </row>
    <row r="116" spans="1:33">
      <c r="A116" s="96">
        <v>300264</v>
      </c>
      <c r="B116" s="1286" t="s">
        <v>85</v>
      </c>
      <c r="C116" s="782">
        <f>'TAR_Tab 2_Volumina'!N119</f>
        <v>1</v>
      </c>
      <c r="D116" s="976"/>
      <c r="E116" s="1318">
        <v>17861.01390568259</v>
      </c>
      <c r="F116" s="1116">
        <f t="shared" si="13"/>
        <v>16996.540832647552</v>
      </c>
      <c r="G116" s="1116">
        <f t="shared" si="14"/>
        <v>17393.767082242914</v>
      </c>
      <c r="H116" s="976"/>
      <c r="I116" s="1117">
        <f t="shared" si="20"/>
        <v>16524.078728130768</v>
      </c>
      <c r="J116" s="1117">
        <f t="shared" si="20"/>
        <v>18263.45543635506</v>
      </c>
      <c r="K116" s="1320"/>
      <c r="L116" s="1000" t="str">
        <f t="shared" si="15"/>
        <v/>
      </c>
      <c r="M116" s="1118">
        <f t="shared" si="16"/>
        <v>17393.767082242914</v>
      </c>
      <c r="N116" s="976"/>
      <c r="O116" s="1119">
        <f t="shared" si="23"/>
        <v>-806.68567480189563</v>
      </c>
      <c r="P116" s="1119">
        <f t="shared" si="22"/>
        <v>834.70472044811856</v>
      </c>
      <c r="Q116" s="1119">
        <f t="shared" si="22"/>
        <v>0</v>
      </c>
      <c r="R116" s="1119">
        <f t="shared" si="22"/>
        <v>31.44541525601797</v>
      </c>
      <c r="S116" s="1119">
        <f t="shared" si="22"/>
        <v>728.26984823413966</v>
      </c>
      <c r="T116" s="1119">
        <f t="shared" si="22"/>
        <v>-95.309108646485171</v>
      </c>
      <c r="U116" s="1119">
        <f t="shared" si="22"/>
        <v>-3.5856362779786122</v>
      </c>
      <c r="V116" s="1119">
        <f t="shared" si="22"/>
        <v>-296.46925773814843</v>
      </c>
      <c r="W116" s="1119">
        <f t="shared" si="22"/>
        <v>23.392442910364515</v>
      </c>
      <c r="X116" s="978"/>
      <c r="Y116" s="1120">
        <f t="shared" si="17"/>
        <v>17809.529831627045</v>
      </c>
      <c r="Z116" s="1354"/>
      <c r="AA116" s="1001">
        <v>0.1445964746219365</v>
      </c>
      <c r="AB116" s="978"/>
      <c r="AC116" s="1036">
        <f t="shared" si="18"/>
        <v>0.1445964746219365</v>
      </c>
      <c r="AD116" s="783">
        <f t="shared" si="19"/>
        <v>0.14499999999999999</v>
      </c>
      <c r="AE116" s="1321"/>
      <c r="AF116" s="1322"/>
      <c r="AG116" s="740"/>
    </row>
    <row r="117" spans="1:33">
      <c r="A117" s="96">
        <v>300265</v>
      </c>
      <c r="B117" s="1286" t="s">
        <v>86</v>
      </c>
      <c r="C117" s="782">
        <f>'TAR_Tab 2_Volumina'!N120</f>
        <v>0</v>
      </c>
      <c r="D117" s="976"/>
      <c r="E117" s="1318">
        <v>0</v>
      </c>
      <c r="F117" s="1116">
        <f t="shared" si="13"/>
        <v>0</v>
      </c>
      <c r="G117" s="1116">
        <f t="shared" si="14"/>
        <v>0</v>
      </c>
      <c r="H117" s="976"/>
      <c r="I117" s="1117">
        <f t="shared" si="20"/>
        <v>0</v>
      </c>
      <c r="J117" s="1117">
        <f t="shared" si="20"/>
        <v>0</v>
      </c>
      <c r="K117" s="1320"/>
      <c r="L117" s="1000" t="str">
        <f t="shared" si="15"/>
        <v/>
      </c>
      <c r="M117" s="1118">
        <f t="shared" si="16"/>
        <v>0</v>
      </c>
      <c r="N117" s="976"/>
      <c r="O117" s="1119">
        <f t="shared" si="23"/>
        <v>0</v>
      </c>
      <c r="P117" s="1119">
        <f t="shared" si="22"/>
        <v>0</v>
      </c>
      <c r="Q117" s="1119">
        <f t="shared" si="22"/>
        <v>0</v>
      </c>
      <c r="R117" s="1119">
        <f t="shared" si="22"/>
        <v>0</v>
      </c>
      <c r="S117" s="1119">
        <f t="shared" si="22"/>
        <v>0</v>
      </c>
      <c r="T117" s="1119">
        <f t="shared" si="22"/>
        <v>0</v>
      </c>
      <c r="U117" s="1119">
        <f t="shared" si="22"/>
        <v>0</v>
      </c>
      <c r="V117" s="1119">
        <f t="shared" si="22"/>
        <v>0</v>
      </c>
      <c r="W117" s="1119">
        <f t="shared" si="22"/>
        <v>0</v>
      </c>
      <c r="X117" s="978"/>
      <c r="Y117" s="1120">
        <f t="shared" si="17"/>
        <v>0</v>
      </c>
      <c r="Z117" s="1354"/>
      <c r="AA117" s="1001">
        <v>0</v>
      </c>
      <c r="AB117" s="978"/>
      <c r="AC117" s="1036">
        <f t="shared" si="18"/>
        <v>0</v>
      </c>
      <c r="AD117" s="783">
        <f t="shared" si="19"/>
        <v>0</v>
      </c>
      <c r="AE117" s="1321"/>
      <c r="AF117" s="1322"/>
      <c r="AG117" s="740"/>
    </row>
    <row r="118" spans="1:33">
      <c r="A118" s="96">
        <v>300269</v>
      </c>
      <c r="B118" s="1286" t="s">
        <v>87</v>
      </c>
      <c r="C118" s="782">
        <f>'TAR_Tab 2_Volumina'!N121</f>
        <v>1</v>
      </c>
      <c r="D118" s="976"/>
      <c r="E118" s="1318">
        <v>17861.01390568259</v>
      </c>
      <c r="F118" s="1116">
        <f t="shared" si="13"/>
        <v>16996.540832647552</v>
      </c>
      <c r="G118" s="1116">
        <f t="shared" si="14"/>
        <v>17393.767082242914</v>
      </c>
      <c r="H118" s="976"/>
      <c r="I118" s="1117">
        <f t="shared" si="20"/>
        <v>16524.078728130768</v>
      </c>
      <c r="J118" s="1117">
        <f t="shared" si="20"/>
        <v>18263.45543635506</v>
      </c>
      <c r="K118" s="1320"/>
      <c r="L118" s="1000" t="str">
        <f t="shared" si="15"/>
        <v/>
      </c>
      <c r="M118" s="1118">
        <f t="shared" si="16"/>
        <v>17393.767082242914</v>
      </c>
      <c r="N118" s="976"/>
      <c r="O118" s="1119">
        <f t="shared" si="23"/>
        <v>-806.68567480189563</v>
      </c>
      <c r="P118" s="1119">
        <f t="shared" si="22"/>
        <v>834.70472044811856</v>
      </c>
      <c r="Q118" s="1119">
        <f t="shared" si="22"/>
        <v>0</v>
      </c>
      <c r="R118" s="1119">
        <f t="shared" si="22"/>
        <v>31.44541525601797</v>
      </c>
      <c r="S118" s="1119">
        <f t="shared" si="22"/>
        <v>728.26984823413966</v>
      </c>
      <c r="T118" s="1119">
        <f t="shared" si="22"/>
        <v>-95.309108646485171</v>
      </c>
      <c r="U118" s="1119">
        <f t="shared" si="22"/>
        <v>-3.5856362779786122</v>
      </c>
      <c r="V118" s="1119">
        <f t="shared" si="22"/>
        <v>-296.46925773814843</v>
      </c>
      <c r="W118" s="1119">
        <f t="shared" si="22"/>
        <v>23.392442910364515</v>
      </c>
      <c r="X118" s="978"/>
      <c r="Y118" s="1120">
        <f t="shared" si="17"/>
        <v>17809.529831627045</v>
      </c>
      <c r="Z118" s="1354"/>
      <c r="AA118" s="1001">
        <v>0.41502986820377941</v>
      </c>
      <c r="AB118" s="978"/>
      <c r="AC118" s="1036">
        <f t="shared" si="18"/>
        <v>0.41502986820377941</v>
      </c>
      <c r="AD118" s="783">
        <f t="shared" si="19"/>
        <v>0.41499999999999998</v>
      </c>
      <c r="AE118" s="1321"/>
      <c r="AF118" s="1322"/>
      <c r="AG118" s="740"/>
    </row>
    <row r="119" spans="1:33">
      <c r="A119" s="96">
        <v>300274</v>
      </c>
      <c r="B119" s="1286" t="s">
        <v>766</v>
      </c>
      <c r="C119" s="782">
        <f>'TAR_Tab 2_Volumina'!N122</f>
        <v>0</v>
      </c>
      <c r="D119" s="976"/>
      <c r="E119" s="1318">
        <v>0</v>
      </c>
      <c r="F119" s="1116">
        <f t="shared" si="13"/>
        <v>0</v>
      </c>
      <c r="G119" s="1116">
        <f t="shared" si="14"/>
        <v>0</v>
      </c>
      <c r="H119" s="976"/>
      <c r="I119" s="1117">
        <f t="shared" si="20"/>
        <v>0</v>
      </c>
      <c r="J119" s="1117">
        <f t="shared" si="20"/>
        <v>0</v>
      </c>
      <c r="K119" s="1320"/>
      <c r="L119" s="1000" t="str">
        <f t="shared" si="15"/>
        <v/>
      </c>
      <c r="M119" s="1118">
        <f t="shared" si="16"/>
        <v>0</v>
      </c>
      <c r="N119" s="976"/>
      <c r="O119" s="1119">
        <f t="shared" si="23"/>
        <v>0</v>
      </c>
      <c r="P119" s="1119">
        <f t="shared" si="22"/>
        <v>0</v>
      </c>
      <c r="Q119" s="1119">
        <f t="shared" si="22"/>
        <v>0</v>
      </c>
      <c r="R119" s="1119">
        <f t="shared" si="22"/>
        <v>0</v>
      </c>
      <c r="S119" s="1119">
        <f t="shared" si="22"/>
        <v>0</v>
      </c>
      <c r="T119" s="1119">
        <f t="shared" si="22"/>
        <v>0</v>
      </c>
      <c r="U119" s="1119">
        <f t="shared" si="22"/>
        <v>0</v>
      </c>
      <c r="V119" s="1119">
        <f t="shared" si="22"/>
        <v>0</v>
      </c>
      <c r="W119" s="1119">
        <f t="shared" si="22"/>
        <v>0</v>
      </c>
      <c r="X119" s="978"/>
      <c r="Y119" s="1120">
        <f t="shared" si="17"/>
        <v>0</v>
      </c>
      <c r="Z119" s="1354"/>
      <c r="AA119" s="1001">
        <v>0</v>
      </c>
      <c r="AB119" s="978"/>
      <c r="AC119" s="1036">
        <f t="shared" si="18"/>
        <v>0</v>
      </c>
      <c r="AD119" s="783">
        <f t="shared" si="19"/>
        <v>0</v>
      </c>
      <c r="AE119" s="1321"/>
      <c r="AF119" s="1322"/>
      <c r="AG119" s="740"/>
    </row>
    <row r="120" spans="1:33">
      <c r="A120" s="96">
        <v>300276</v>
      </c>
      <c r="B120" s="1286" t="s">
        <v>88</v>
      </c>
      <c r="C120" s="782">
        <f>'TAR_Tab 2_Volumina'!N123</f>
        <v>1</v>
      </c>
      <c r="D120" s="976"/>
      <c r="E120" s="1318">
        <v>17861.01390568259</v>
      </c>
      <c r="F120" s="1116">
        <f t="shared" si="13"/>
        <v>16996.540832647552</v>
      </c>
      <c r="G120" s="1116">
        <f t="shared" si="14"/>
        <v>17393.767082242914</v>
      </c>
      <c r="H120" s="976"/>
      <c r="I120" s="1117">
        <f t="shared" si="20"/>
        <v>16524.078728130768</v>
      </c>
      <c r="J120" s="1117">
        <f t="shared" si="20"/>
        <v>18263.45543635506</v>
      </c>
      <c r="K120" s="1320"/>
      <c r="L120" s="1000" t="str">
        <f t="shared" si="15"/>
        <v/>
      </c>
      <c r="M120" s="1118">
        <f t="shared" si="16"/>
        <v>17393.767082242914</v>
      </c>
      <c r="N120" s="976"/>
      <c r="O120" s="1119">
        <f t="shared" si="23"/>
        <v>-806.68567480189563</v>
      </c>
      <c r="P120" s="1119">
        <f t="shared" si="22"/>
        <v>834.70472044811856</v>
      </c>
      <c r="Q120" s="1119">
        <f t="shared" si="22"/>
        <v>0</v>
      </c>
      <c r="R120" s="1119">
        <f t="shared" si="22"/>
        <v>31.44541525601797</v>
      </c>
      <c r="S120" s="1119">
        <f t="shared" si="22"/>
        <v>728.26984823413966</v>
      </c>
      <c r="T120" s="1119">
        <f t="shared" si="22"/>
        <v>-95.309108646485171</v>
      </c>
      <c r="U120" s="1119">
        <f t="shared" si="22"/>
        <v>-3.5856362779786122</v>
      </c>
      <c r="V120" s="1119">
        <f t="shared" si="22"/>
        <v>-296.46925773814843</v>
      </c>
      <c r="W120" s="1119">
        <f t="shared" si="22"/>
        <v>23.392442910364515</v>
      </c>
      <c r="X120" s="978"/>
      <c r="Y120" s="1120">
        <f t="shared" si="17"/>
        <v>17809.529831627045</v>
      </c>
      <c r="Z120" s="1354"/>
      <c r="AA120" s="1001">
        <v>0.10224733243475613</v>
      </c>
      <c r="AB120" s="978"/>
      <c r="AC120" s="1036">
        <f t="shared" si="18"/>
        <v>0.10224733243475613</v>
      </c>
      <c r="AD120" s="783">
        <f t="shared" si="19"/>
        <v>0.10199999999999999</v>
      </c>
      <c r="AE120" s="1321"/>
      <c r="AF120" s="1322"/>
      <c r="AG120" s="740"/>
    </row>
    <row r="121" spans="1:33">
      <c r="A121" s="96">
        <v>300283</v>
      </c>
      <c r="B121" s="1286" t="s">
        <v>274</v>
      </c>
      <c r="C121" s="782">
        <f>'TAR_Tab 2_Volumina'!N124</f>
        <v>1</v>
      </c>
      <c r="D121" s="976"/>
      <c r="E121" s="1318">
        <v>53583.041717047774</v>
      </c>
      <c r="F121" s="1116">
        <f t="shared" si="13"/>
        <v>50989.622497942662</v>
      </c>
      <c r="G121" s="1116">
        <f t="shared" si="14"/>
        <v>52181.301246728748</v>
      </c>
      <c r="H121" s="976"/>
      <c r="I121" s="1117">
        <f t="shared" si="20"/>
        <v>49572.236184392306</v>
      </c>
      <c r="J121" s="1117">
        <f t="shared" si="20"/>
        <v>54790.36630906519</v>
      </c>
      <c r="K121" s="1320"/>
      <c r="L121" s="1000" t="str">
        <f t="shared" si="15"/>
        <v/>
      </c>
      <c r="M121" s="1118">
        <f t="shared" si="16"/>
        <v>52181.301246728748</v>
      </c>
      <c r="N121" s="976"/>
      <c r="O121" s="1119">
        <f t="shared" si="23"/>
        <v>-2420.0570244056871</v>
      </c>
      <c r="P121" s="1119">
        <f t="shared" si="22"/>
        <v>2504.114161344356</v>
      </c>
      <c r="Q121" s="1119">
        <f t="shared" si="22"/>
        <v>0</v>
      </c>
      <c r="R121" s="1119">
        <f t="shared" si="22"/>
        <v>94.336245768053928</v>
      </c>
      <c r="S121" s="1119">
        <f t="shared" si="22"/>
        <v>2184.8095447024193</v>
      </c>
      <c r="T121" s="1119">
        <f t="shared" si="22"/>
        <v>-285.92732593945556</v>
      </c>
      <c r="U121" s="1119">
        <f t="shared" si="22"/>
        <v>-10.756908833935839</v>
      </c>
      <c r="V121" s="1119">
        <f t="shared" si="22"/>
        <v>-889.40777321444534</v>
      </c>
      <c r="W121" s="1119">
        <f t="shared" si="22"/>
        <v>70.177328731093553</v>
      </c>
      <c r="X121" s="978"/>
      <c r="Y121" s="1120">
        <f t="shared" si="17"/>
        <v>53428.589494881147</v>
      </c>
      <c r="Z121" s="1354"/>
      <c r="AA121" s="1001">
        <v>6.344575531476887E-2</v>
      </c>
      <c r="AB121" s="978"/>
      <c r="AC121" s="1036">
        <f t="shared" si="18"/>
        <v>6.344575531476887E-2</v>
      </c>
      <c r="AD121" s="783">
        <f t="shared" si="19"/>
        <v>6.3E-2</v>
      </c>
      <c r="AE121" s="1321"/>
      <c r="AF121" s="1322"/>
      <c r="AG121" s="740"/>
    </row>
    <row r="122" spans="1:33">
      <c r="A122" s="96">
        <v>300285</v>
      </c>
      <c r="B122" s="1286" t="s">
        <v>89</v>
      </c>
      <c r="C122" s="782">
        <f>'TAR_Tab 2_Volumina'!N125</f>
        <v>1</v>
      </c>
      <c r="D122" s="976"/>
      <c r="E122" s="1318">
        <v>17861.01390568259</v>
      </c>
      <c r="F122" s="1116">
        <f t="shared" si="13"/>
        <v>16996.540832647552</v>
      </c>
      <c r="G122" s="1116">
        <f t="shared" si="14"/>
        <v>17393.767082242914</v>
      </c>
      <c r="H122" s="976"/>
      <c r="I122" s="1117">
        <f t="shared" si="20"/>
        <v>16524.078728130768</v>
      </c>
      <c r="J122" s="1117">
        <f t="shared" si="20"/>
        <v>18263.45543635506</v>
      </c>
      <c r="K122" s="1320"/>
      <c r="L122" s="1000" t="str">
        <f t="shared" si="15"/>
        <v/>
      </c>
      <c r="M122" s="1118">
        <f t="shared" si="16"/>
        <v>17393.767082242914</v>
      </c>
      <c r="N122" s="976"/>
      <c r="O122" s="1119">
        <f t="shared" si="23"/>
        <v>-806.68567480189563</v>
      </c>
      <c r="P122" s="1119">
        <f t="shared" si="22"/>
        <v>834.70472044811856</v>
      </c>
      <c r="Q122" s="1119">
        <f t="shared" si="22"/>
        <v>0</v>
      </c>
      <c r="R122" s="1119">
        <f t="shared" si="22"/>
        <v>31.44541525601797</v>
      </c>
      <c r="S122" s="1119">
        <f t="shared" si="22"/>
        <v>728.26984823413966</v>
      </c>
      <c r="T122" s="1119">
        <f t="shared" si="22"/>
        <v>-95.309108646485171</v>
      </c>
      <c r="U122" s="1119">
        <f t="shared" si="22"/>
        <v>-3.5856362779786122</v>
      </c>
      <c r="V122" s="1119">
        <f t="shared" si="22"/>
        <v>-296.46925773814843</v>
      </c>
      <c r="W122" s="1119">
        <f t="shared" si="22"/>
        <v>23.392442910364515</v>
      </c>
      <c r="X122" s="978"/>
      <c r="Y122" s="1120">
        <f t="shared" si="17"/>
        <v>17809.529831627045</v>
      </c>
      <c r="Z122" s="1354"/>
      <c r="AA122" s="1001">
        <v>0.35121013288062763</v>
      </c>
      <c r="AB122" s="978"/>
      <c r="AC122" s="1036">
        <f t="shared" si="18"/>
        <v>0.35121013288062763</v>
      </c>
      <c r="AD122" s="783">
        <f t="shared" si="19"/>
        <v>0.35099999999999998</v>
      </c>
      <c r="AE122" s="1321"/>
      <c r="AF122" s="1322"/>
      <c r="AG122" s="740"/>
    </row>
    <row r="123" spans="1:33">
      <c r="A123" s="96">
        <v>300288</v>
      </c>
      <c r="B123" s="1286" t="s">
        <v>90</v>
      </c>
      <c r="C123" s="782">
        <f>'TAR_Tab 2_Volumina'!N126</f>
        <v>0</v>
      </c>
      <c r="D123" s="976"/>
      <c r="E123" s="1318">
        <v>0</v>
      </c>
      <c r="F123" s="1116">
        <f t="shared" si="13"/>
        <v>0</v>
      </c>
      <c r="G123" s="1116">
        <f t="shared" si="14"/>
        <v>0</v>
      </c>
      <c r="H123" s="976"/>
      <c r="I123" s="1117">
        <f t="shared" si="20"/>
        <v>0</v>
      </c>
      <c r="J123" s="1117">
        <f t="shared" si="20"/>
        <v>0</v>
      </c>
      <c r="K123" s="1320"/>
      <c r="L123" s="1000" t="str">
        <f t="shared" si="15"/>
        <v/>
      </c>
      <c r="M123" s="1118">
        <f t="shared" si="16"/>
        <v>0</v>
      </c>
      <c r="N123" s="976"/>
      <c r="O123" s="1119">
        <f t="shared" si="23"/>
        <v>0</v>
      </c>
      <c r="P123" s="1119">
        <f t="shared" si="22"/>
        <v>0</v>
      </c>
      <c r="Q123" s="1119">
        <f t="shared" si="22"/>
        <v>0</v>
      </c>
      <c r="R123" s="1119">
        <f t="shared" si="22"/>
        <v>0</v>
      </c>
      <c r="S123" s="1119">
        <f t="shared" si="22"/>
        <v>0</v>
      </c>
      <c r="T123" s="1119">
        <f t="shared" si="22"/>
        <v>0</v>
      </c>
      <c r="U123" s="1119">
        <f t="shared" si="22"/>
        <v>0</v>
      </c>
      <c r="V123" s="1119">
        <f t="shared" si="22"/>
        <v>0</v>
      </c>
      <c r="W123" s="1119">
        <f t="shared" si="22"/>
        <v>0</v>
      </c>
      <c r="X123" s="978"/>
      <c r="Y123" s="1120">
        <f t="shared" si="17"/>
        <v>0</v>
      </c>
      <c r="Z123" s="1354"/>
      <c r="AA123" s="1001">
        <v>0</v>
      </c>
      <c r="AB123" s="978"/>
      <c r="AC123" s="1036">
        <f t="shared" si="18"/>
        <v>0</v>
      </c>
      <c r="AD123" s="783">
        <f t="shared" si="19"/>
        <v>0</v>
      </c>
      <c r="AE123" s="1321"/>
      <c r="AF123" s="1322"/>
      <c r="AG123" s="740"/>
    </row>
    <row r="124" spans="1:33">
      <c r="A124" s="96">
        <v>300292</v>
      </c>
      <c r="B124" s="1286" t="s">
        <v>767</v>
      </c>
      <c r="C124" s="782">
        <f>'TAR_Tab 2_Volumina'!N127</f>
        <v>0</v>
      </c>
      <c r="D124" s="976"/>
      <c r="E124" s="1318">
        <v>0</v>
      </c>
      <c r="F124" s="1116">
        <f t="shared" si="13"/>
        <v>0</v>
      </c>
      <c r="G124" s="1116">
        <f t="shared" si="14"/>
        <v>0</v>
      </c>
      <c r="H124" s="976"/>
      <c r="I124" s="1117">
        <f t="shared" si="20"/>
        <v>0</v>
      </c>
      <c r="J124" s="1117">
        <f t="shared" si="20"/>
        <v>0</v>
      </c>
      <c r="K124" s="1320"/>
      <c r="L124" s="1000" t="str">
        <f t="shared" si="15"/>
        <v/>
      </c>
      <c r="M124" s="1118">
        <f t="shared" si="16"/>
        <v>0</v>
      </c>
      <c r="N124" s="976"/>
      <c r="O124" s="1119">
        <f t="shared" si="23"/>
        <v>0</v>
      </c>
      <c r="P124" s="1119">
        <f t="shared" si="22"/>
        <v>0</v>
      </c>
      <c r="Q124" s="1119">
        <f t="shared" si="22"/>
        <v>0</v>
      </c>
      <c r="R124" s="1119">
        <f t="shared" si="22"/>
        <v>0</v>
      </c>
      <c r="S124" s="1119">
        <f t="shared" si="22"/>
        <v>0</v>
      </c>
      <c r="T124" s="1119">
        <f t="shared" si="22"/>
        <v>0</v>
      </c>
      <c r="U124" s="1119">
        <f t="shared" si="22"/>
        <v>0</v>
      </c>
      <c r="V124" s="1119">
        <f t="shared" si="22"/>
        <v>0</v>
      </c>
      <c r="W124" s="1119">
        <f t="shared" si="22"/>
        <v>0</v>
      </c>
      <c r="X124" s="978"/>
      <c r="Y124" s="1120">
        <f t="shared" si="17"/>
        <v>0</v>
      </c>
      <c r="Z124" s="1354"/>
      <c r="AA124" s="1001">
        <v>0</v>
      </c>
      <c r="AB124" s="978"/>
      <c r="AC124" s="1036">
        <f t="shared" si="18"/>
        <v>0</v>
      </c>
      <c r="AD124" s="783">
        <f t="shared" si="19"/>
        <v>0</v>
      </c>
      <c r="AE124" s="1321"/>
      <c r="AF124" s="1322"/>
      <c r="AG124" s="740"/>
    </row>
    <row r="125" spans="1:33">
      <c r="A125" s="96">
        <v>300294</v>
      </c>
      <c r="B125" s="1286" t="s">
        <v>651</v>
      </c>
      <c r="C125" s="782">
        <f>'TAR_Tab 2_Volumina'!N128</f>
        <v>0</v>
      </c>
      <c r="D125" s="976"/>
      <c r="E125" s="1318">
        <v>0</v>
      </c>
      <c r="F125" s="1116">
        <f t="shared" si="13"/>
        <v>0</v>
      </c>
      <c r="G125" s="1116">
        <f t="shared" si="14"/>
        <v>0</v>
      </c>
      <c r="H125" s="976"/>
      <c r="I125" s="1117">
        <f t="shared" si="20"/>
        <v>0</v>
      </c>
      <c r="J125" s="1117">
        <f t="shared" si="20"/>
        <v>0</v>
      </c>
      <c r="K125" s="1320"/>
      <c r="L125" s="1000" t="str">
        <f t="shared" si="15"/>
        <v/>
      </c>
      <c r="M125" s="1118">
        <f t="shared" si="16"/>
        <v>0</v>
      </c>
      <c r="N125" s="976"/>
      <c r="O125" s="1119">
        <f t="shared" si="23"/>
        <v>0</v>
      </c>
      <c r="P125" s="1119">
        <f t="shared" si="22"/>
        <v>0</v>
      </c>
      <c r="Q125" s="1119">
        <f t="shared" si="22"/>
        <v>0</v>
      </c>
      <c r="R125" s="1119">
        <f t="shared" si="22"/>
        <v>0</v>
      </c>
      <c r="S125" s="1119">
        <f t="shared" si="22"/>
        <v>0</v>
      </c>
      <c r="T125" s="1119">
        <f t="shared" si="22"/>
        <v>0</v>
      </c>
      <c r="U125" s="1119">
        <f t="shared" si="22"/>
        <v>0</v>
      </c>
      <c r="V125" s="1119">
        <f t="shared" si="22"/>
        <v>0</v>
      </c>
      <c r="W125" s="1119">
        <f t="shared" si="22"/>
        <v>0</v>
      </c>
      <c r="X125" s="978"/>
      <c r="Y125" s="1120">
        <f t="shared" si="17"/>
        <v>0</v>
      </c>
      <c r="Z125" s="1354"/>
      <c r="AA125" s="1001">
        <v>0</v>
      </c>
      <c r="AB125" s="978"/>
      <c r="AC125" s="1036">
        <f t="shared" si="18"/>
        <v>0</v>
      </c>
      <c r="AD125" s="783">
        <f t="shared" si="19"/>
        <v>0</v>
      </c>
      <c r="AE125" s="1321"/>
      <c r="AF125" s="1322"/>
      <c r="AG125" s="740"/>
    </row>
    <row r="126" spans="1:33">
      <c r="A126" s="96">
        <v>300304</v>
      </c>
      <c r="B126" s="1286" t="s">
        <v>768</v>
      </c>
      <c r="C126" s="782">
        <f>'TAR_Tab 2_Volumina'!N129</f>
        <v>0</v>
      </c>
      <c r="D126" s="976"/>
      <c r="E126" s="1318">
        <v>0</v>
      </c>
      <c r="F126" s="1116">
        <f t="shared" si="13"/>
        <v>0</v>
      </c>
      <c r="G126" s="1116">
        <f t="shared" si="14"/>
        <v>0</v>
      </c>
      <c r="H126" s="976"/>
      <c r="I126" s="1117">
        <f t="shared" si="20"/>
        <v>0</v>
      </c>
      <c r="J126" s="1117">
        <f t="shared" si="20"/>
        <v>0</v>
      </c>
      <c r="K126" s="1320"/>
      <c r="L126" s="1000" t="str">
        <f t="shared" si="15"/>
        <v/>
      </c>
      <c r="M126" s="1118">
        <f t="shared" si="16"/>
        <v>0</v>
      </c>
      <c r="N126" s="976"/>
      <c r="O126" s="1119">
        <f t="shared" si="23"/>
        <v>0</v>
      </c>
      <c r="P126" s="1119">
        <f t="shared" si="22"/>
        <v>0</v>
      </c>
      <c r="Q126" s="1119">
        <f t="shared" si="22"/>
        <v>0</v>
      </c>
      <c r="R126" s="1119">
        <f t="shared" si="22"/>
        <v>0</v>
      </c>
      <c r="S126" s="1119">
        <f t="shared" si="22"/>
        <v>0</v>
      </c>
      <c r="T126" s="1119">
        <f t="shared" si="22"/>
        <v>0</v>
      </c>
      <c r="U126" s="1119">
        <f t="shared" si="22"/>
        <v>0</v>
      </c>
      <c r="V126" s="1119">
        <f t="shared" si="22"/>
        <v>0</v>
      </c>
      <c r="W126" s="1119">
        <f t="shared" si="22"/>
        <v>0</v>
      </c>
      <c r="X126" s="978"/>
      <c r="Y126" s="1120">
        <f t="shared" si="17"/>
        <v>0</v>
      </c>
      <c r="Z126" s="1354"/>
      <c r="AA126" s="1001">
        <v>0</v>
      </c>
      <c r="AB126" s="978"/>
      <c r="AC126" s="1036">
        <f t="shared" si="18"/>
        <v>0</v>
      </c>
      <c r="AD126" s="783">
        <f t="shared" si="19"/>
        <v>0</v>
      </c>
      <c r="AE126" s="1321"/>
      <c r="AF126" s="1322"/>
      <c r="AG126" s="740"/>
    </row>
    <row r="127" spans="1:33">
      <c r="A127" s="96">
        <v>300306</v>
      </c>
      <c r="B127" s="1286" t="s">
        <v>769</v>
      </c>
      <c r="C127" s="782">
        <f>'TAR_Tab 2_Volumina'!N130</f>
        <v>0</v>
      </c>
      <c r="D127" s="976"/>
      <c r="E127" s="1318">
        <v>0</v>
      </c>
      <c r="F127" s="1116">
        <f t="shared" si="13"/>
        <v>0</v>
      </c>
      <c r="G127" s="1116">
        <f t="shared" si="14"/>
        <v>0</v>
      </c>
      <c r="H127" s="976"/>
      <c r="I127" s="1117">
        <f t="shared" si="20"/>
        <v>0</v>
      </c>
      <c r="J127" s="1117">
        <f t="shared" si="20"/>
        <v>0</v>
      </c>
      <c r="K127" s="1320"/>
      <c r="L127" s="1000" t="str">
        <f t="shared" si="15"/>
        <v/>
      </c>
      <c r="M127" s="1118">
        <f t="shared" si="16"/>
        <v>0</v>
      </c>
      <c r="N127" s="976"/>
      <c r="O127" s="1119">
        <f t="shared" si="23"/>
        <v>0</v>
      </c>
      <c r="P127" s="1119">
        <f t="shared" si="22"/>
        <v>0</v>
      </c>
      <c r="Q127" s="1119">
        <f t="shared" si="22"/>
        <v>0</v>
      </c>
      <c r="R127" s="1119">
        <f t="shared" si="22"/>
        <v>0</v>
      </c>
      <c r="S127" s="1119">
        <f t="shared" si="22"/>
        <v>0</v>
      </c>
      <c r="T127" s="1119">
        <f t="shared" si="22"/>
        <v>0</v>
      </c>
      <c r="U127" s="1119">
        <f t="shared" si="22"/>
        <v>0</v>
      </c>
      <c r="V127" s="1119">
        <f t="shared" si="22"/>
        <v>0</v>
      </c>
      <c r="W127" s="1119">
        <f t="shared" si="22"/>
        <v>0</v>
      </c>
      <c r="X127" s="978"/>
      <c r="Y127" s="1120">
        <f t="shared" si="17"/>
        <v>0</v>
      </c>
      <c r="Z127" s="1354"/>
      <c r="AA127" s="1001">
        <v>0</v>
      </c>
      <c r="AB127" s="978"/>
      <c r="AC127" s="1036">
        <f t="shared" si="18"/>
        <v>0</v>
      </c>
      <c r="AD127" s="783">
        <f t="shared" si="19"/>
        <v>0</v>
      </c>
      <c r="AE127" s="1321"/>
      <c r="AF127" s="1322"/>
      <c r="AG127" s="740"/>
    </row>
    <row r="128" spans="1:33">
      <c r="A128" s="96">
        <v>300308</v>
      </c>
      <c r="B128" s="1286" t="s">
        <v>91</v>
      </c>
      <c r="C128" s="782">
        <f>'TAR_Tab 2_Volumina'!N131</f>
        <v>0</v>
      </c>
      <c r="D128" s="976"/>
      <c r="E128" s="1318">
        <v>0</v>
      </c>
      <c r="F128" s="1116">
        <f t="shared" si="13"/>
        <v>0</v>
      </c>
      <c r="G128" s="1116">
        <f t="shared" si="14"/>
        <v>0</v>
      </c>
      <c r="H128" s="976"/>
      <c r="I128" s="1117">
        <f t="shared" si="20"/>
        <v>0</v>
      </c>
      <c r="J128" s="1117">
        <f t="shared" si="20"/>
        <v>0</v>
      </c>
      <c r="K128" s="1320"/>
      <c r="L128" s="1000" t="str">
        <f t="shared" si="15"/>
        <v/>
      </c>
      <c r="M128" s="1118">
        <f t="shared" si="16"/>
        <v>0</v>
      </c>
      <c r="N128" s="976"/>
      <c r="O128" s="1119">
        <f t="shared" si="23"/>
        <v>0</v>
      </c>
      <c r="P128" s="1119">
        <f t="shared" si="22"/>
        <v>0</v>
      </c>
      <c r="Q128" s="1119">
        <f t="shared" si="22"/>
        <v>0</v>
      </c>
      <c r="R128" s="1119">
        <f t="shared" si="22"/>
        <v>0</v>
      </c>
      <c r="S128" s="1119">
        <f t="shared" si="22"/>
        <v>0</v>
      </c>
      <c r="T128" s="1119">
        <f t="shared" si="22"/>
        <v>0</v>
      </c>
      <c r="U128" s="1119">
        <f t="shared" si="22"/>
        <v>0</v>
      </c>
      <c r="V128" s="1119">
        <f t="shared" si="22"/>
        <v>0</v>
      </c>
      <c r="W128" s="1119">
        <f t="shared" si="22"/>
        <v>0</v>
      </c>
      <c r="X128" s="978"/>
      <c r="Y128" s="1120">
        <f t="shared" si="17"/>
        <v>0</v>
      </c>
      <c r="Z128" s="1354"/>
      <c r="AA128" s="1001">
        <v>0</v>
      </c>
      <c r="AB128" s="978"/>
      <c r="AC128" s="1036">
        <f t="shared" si="18"/>
        <v>0</v>
      </c>
      <c r="AD128" s="783">
        <f t="shared" si="19"/>
        <v>0</v>
      </c>
      <c r="AE128" s="1321"/>
      <c r="AF128" s="1322"/>
      <c r="AG128" s="740"/>
    </row>
    <row r="129" spans="1:33">
      <c r="A129" s="96">
        <v>300309</v>
      </c>
      <c r="B129" s="1286" t="s">
        <v>92</v>
      </c>
      <c r="C129" s="782">
        <f>'TAR_Tab 2_Volumina'!N132</f>
        <v>0</v>
      </c>
      <c r="D129" s="976"/>
      <c r="E129" s="1318">
        <v>0</v>
      </c>
      <c r="F129" s="1116">
        <f t="shared" si="13"/>
        <v>0</v>
      </c>
      <c r="G129" s="1116">
        <f t="shared" si="14"/>
        <v>0</v>
      </c>
      <c r="H129" s="976"/>
      <c r="I129" s="1117">
        <f t="shared" si="20"/>
        <v>0</v>
      </c>
      <c r="J129" s="1117">
        <f t="shared" si="20"/>
        <v>0</v>
      </c>
      <c r="K129" s="1320"/>
      <c r="L129" s="1000" t="str">
        <f t="shared" si="15"/>
        <v/>
      </c>
      <c r="M129" s="1118">
        <f t="shared" si="16"/>
        <v>0</v>
      </c>
      <c r="N129" s="976"/>
      <c r="O129" s="1119">
        <f t="shared" si="23"/>
        <v>0</v>
      </c>
      <c r="P129" s="1119">
        <f t="shared" si="22"/>
        <v>0</v>
      </c>
      <c r="Q129" s="1119">
        <f t="shared" si="22"/>
        <v>0</v>
      </c>
      <c r="R129" s="1119">
        <f t="shared" si="22"/>
        <v>0</v>
      </c>
      <c r="S129" s="1119">
        <f t="shared" si="22"/>
        <v>0</v>
      </c>
      <c r="T129" s="1119">
        <f t="shared" si="22"/>
        <v>0</v>
      </c>
      <c r="U129" s="1119">
        <f t="shared" si="22"/>
        <v>0</v>
      </c>
      <c r="V129" s="1119">
        <f t="shared" si="22"/>
        <v>0</v>
      </c>
      <c r="W129" s="1119">
        <f t="shared" si="22"/>
        <v>0</v>
      </c>
      <c r="X129" s="978"/>
      <c r="Y129" s="1120">
        <f t="shared" si="17"/>
        <v>0</v>
      </c>
      <c r="Z129" s="1354"/>
      <c r="AA129" s="1001">
        <v>0</v>
      </c>
      <c r="AB129" s="978"/>
      <c r="AC129" s="1036">
        <f t="shared" si="18"/>
        <v>0</v>
      </c>
      <c r="AD129" s="783">
        <f t="shared" si="19"/>
        <v>0</v>
      </c>
      <c r="AE129" s="1321"/>
      <c r="AF129" s="1322"/>
      <c r="AG129" s="740"/>
    </row>
    <row r="130" spans="1:33">
      <c r="A130" s="96">
        <v>300311</v>
      </c>
      <c r="B130" s="1286" t="s">
        <v>93</v>
      </c>
      <c r="C130" s="782">
        <f>'TAR_Tab 2_Volumina'!N133</f>
        <v>0</v>
      </c>
      <c r="D130" s="976"/>
      <c r="E130" s="1318">
        <v>0</v>
      </c>
      <c r="F130" s="1116">
        <f t="shared" si="13"/>
        <v>0</v>
      </c>
      <c r="G130" s="1116">
        <f t="shared" si="14"/>
        <v>0</v>
      </c>
      <c r="H130" s="976"/>
      <c r="I130" s="1117">
        <f t="shared" si="20"/>
        <v>0</v>
      </c>
      <c r="J130" s="1117">
        <f t="shared" si="20"/>
        <v>0</v>
      </c>
      <c r="K130" s="1320"/>
      <c r="L130" s="1000" t="str">
        <f t="shared" si="15"/>
        <v/>
      </c>
      <c r="M130" s="1118">
        <f t="shared" si="16"/>
        <v>0</v>
      </c>
      <c r="N130" s="976"/>
      <c r="O130" s="1119">
        <f t="shared" si="23"/>
        <v>0</v>
      </c>
      <c r="P130" s="1119">
        <f t="shared" si="22"/>
        <v>0</v>
      </c>
      <c r="Q130" s="1119">
        <f t="shared" si="22"/>
        <v>0</v>
      </c>
      <c r="R130" s="1119">
        <f t="shared" si="22"/>
        <v>0</v>
      </c>
      <c r="S130" s="1119">
        <f t="shared" si="22"/>
        <v>0</v>
      </c>
      <c r="T130" s="1119">
        <f t="shared" si="22"/>
        <v>0</v>
      </c>
      <c r="U130" s="1119">
        <f t="shared" si="22"/>
        <v>0</v>
      </c>
      <c r="V130" s="1119">
        <f t="shared" si="22"/>
        <v>0</v>
      </c>
      <c r="W130" s="1119">
        <f t="shared" si="22"/>
        <v>0</v>
      </c>
      <c r="X130" s="978"/>
      <c r="Y130" s="1120">
        <f t="shared" si="17"/>
        <v>0</v>
      </c>
      <c r="Z130" s="1354"/>
      <c r="AA130" s="1001">
        <v>0</v>
      </c>
      <c r="AB130" s="978"/>
      <c r="AC130" s="1036">
        <f t="shared" si="18"/>
        <v>0</v>
      </c>
      <c r="AD130" s="783">
        <f t="shared" si="19"/>
        <v>0</v>
      </c>
      <c r="AE130" s="1321"/>
      <c r="AF130" s="1322"/>
      <c r="AG130" s="740"/>
    </row>
    <row r="131" spans="1:33">
      <c r="A131" s="96">
        <v>300314</v>
      </c>
      <c r="B131" s="1286" t="s">
        <v>94</v>
      </c>
      <c r="C131" s="782">
        <f>'TAR_Tab 2_Volumina'!N134</f>
        <v>0</v>
      </c>
      <c r="D131" s="976"/>
      <c r="E131" s="1318">
        <v>0</v>
      </c>
      <c r="F131" s="1116">
        <f t="shared" si="13"/>
        <v>0</v>
      </c>
      <c r="G131" s="1116">
        <f t="shared" si="14"/>
        <v>0</v>
      </c>
      <c r="H131" s="976"/>
      <c r="I131" s="1117">
        <f t="shared" si="20"/>
        <v>0</v>
      </c>
      <c r="J131" s="1117">
        <f t="shared" si="20"/>
        <v>0</v>
      </c>
      <c r="K131" s="1320"/>
      <c r="L131" s="1000" t="str">
        <f t="shared" si="15"/>
        <v/>
      </c>
      <c r="M131" s="1118">
        <f t="shared" si="16"/>
        <v>0</v>
      </c>
      <c r="N131" s="976"/>
      <c r="O131" s="1119">
        <f t="shared" si="23"/>
        <v>0</v>
      </c>
      <c r="P131" s="1119">
        <f t="shared" si="22"/>
        <v>0</v>
      </c>
      <c r="Q131" s="1119">
        <f t="shared" si="22"/>
        <v>0</v>
      </c>
      <c r="R131" s="1119">
        <f t="shared" si="22"/>
        <v>0</v>
      </c>
      <c r="S131" s="1119">
        <f t="shared" si="22"/>
        <v>0</v>
      </c>
      <c r="T131" s="1119">
        <f t="shared" si="22"/>
        <v>0</v>
      </c>
      <c r="U131" s="1119">
        <f t="shared" si="22"/>
        <v>0</v>
      </c>
      <c r="V131" s="1119">
        <f t="shared" si="22"/>
        <v>0</v>
      </c>
      <c r="W131" s="1119">
        <f t="shared" si="22"/>
        <v>0</v>
      </c>
      <c r="X131" s="978"/>
      <c r="Y131" s="1120">
        <f t="shared" si="17"/>
        <v>0</v>
      </c>
      <c r="Z131" s="1354"/>
      <c r="AA131" s="1001">
        <v>0</v>
      </c>
      <c r="AB131" s="978"/>
      <c r="AC131" s="1036">
        <f t="shared" si="18"/>
        <v>0</v>
      </c>
      <c r="AD131" s="783">
        <f t="shared" si="19"/>
        <v>0</v>
      </c>
      <c r="AE131" s="1321"/>
      <c r="AF131" s="1322"/>
      <c r="AG131" s="740"/>
    </row>
    <row r="132" spans="1:33">
      <c r="A132" s="96">
        <v>300319</v>
      </c>
      <c r="B132" s="1286" t="s">
        <v>275</v>
      </c>
      <c r="C132" s="782">
        <f>'TAR_Tab 2_Volumina'!N135</f>
        <v>1</v>
      </c>
      <c r="D132" s="976"/>
      <c r="E132" s="1318">
        <v>125027.09733977813</v>
      </c>
      <c r="F132" s="1116">
        <f t="shared" si="13"/>
        <v>118975.78582853287</v>
      </c>
      <c r="G132" s="1116">
        <f t="shared" si="14"/>
        <v>121756.3695757004</v>
      </c>
      <c r="H132" s="976"/>
      <c r="I132" s="1117">
        <f t="shared" si="20"/>
        <v>115668.55109691538</v>
      </c>
      <c r="J132" s="1117">
        <f t="shared" si="20"/>
        <v>127844.18805448542</v>
      </c>
      <c r="K132" s="1320"/>
      <c r="L132" s="1000" t="str">
        <f t="shared" si="15"/>
        <v/>
      </c>
      <c r="M132" s="1118">
        <f t="shared" si="16"/>
        <v>121756.3695757004</v>
      </c>
      <c r="N132" s="976"/>
      <c r="O132" s="1119">
        <f t="shared" si="23"/>
        <v>-5646.7997236132696</v>
      </c>
      <c r="P132" s="1119">
        <f t="shared" si="22"/>
        <v>5842.9330431368307</v>
      </c>
      <c r="Q132" s="1119">
        <f t="shared" si="22"/>
        <v>0</v>
      </c>
      <c r="R132" s="1119">
        <f t="shared" si="22"/>
        <v>220.11790679212581</v>
      </c>
      <c r="S132" s="1119">
        <f t="shared" si="22"/>
        <v>5097.8889376389779</v>
      </c>
      <c r="T132" s="1119">
        <f t="shared" si="22"/>
        <v>-667.16376052539624</v>
      </c>
      <c r="U132" s="1119">
        <f t="shared" si="22"/>
        <v>-25.099453945850289</v>
      </c>
      <c r="V132" s="1119">
        <f t="shared" si="22"/>
        <v>-2075.2848041670391</v>
      </c>
      <c r="W132" s="1119">
        <f t="shared" si="22"/>
        <v>163.74710037255161</v>
      </c>
      <c r="X132" s="978"/>
      <c r="Y132" s="1120">
        <f t="shared" si="17"/>
        <v>124666.70882138933</v>
      </c>
      <c r="Z132" s="1354"/>
      <c r="AA132" s="1001">
        <v>0.10686836391153692</v>
      </c>
      <c r="AB132" s="978"/>
      <c r="AC132" s="1036">
        <f t="shared" si="18"/>
        <v>0.10686836391153692</v>
      </c>
      <c r="AD132" s="783">
        <f t="shared" si="19"/>
        <v>0.107</v>
      </c>
      <c r="AE132" s="1321"/>
      <c r="AF132" s="1322"/>
      <c r="AG132" s="740"/>
    </row>
    <row r="133" spans="1:33">
      <c r="A133" s="96">
        <v>300321</v>
      </c>
      <c r="B133" s="1286" t="s">
        <v>95</v>
      </c>
      <c r="C133" s="782">
        <f>'TAR_Tab 2_Volumina'!N136</f>
        <v>1</v>
      </c>
      <c r="D133" s="976"/>
      <c r="E133" s="1318">
        <v>17861.01390568259</v>
      </c>
      <c r="F133" s="1116">
        <f t="shared" si="13"/>
        <v>16996.540832647552</v>
      </c>
      <c r="G133" s="1116">
        <f t="shared" si="14"/>
        <v>17393.767082242914</v>
      </c>
      <c r="H133" s="976"/>
      <c r="I133" s="1117">
        <f t="shared" si="20"/>
        <v>16524.078728130768</v>
      </c>
      <c r="J133" s="1117">
        <f t="shared" si="20"/>
        <v>18263.45543635506</v>
      </c>
      <c r="K133" s="1320"/>
      <c r="L133" s="1000" t="str">
        <f t="shared" si="15"/>
        <v/>
      </c>
      <c r="M133" s="1118">
        <f t="shared" si="16"/>
        <v>17393.767082242914</v>
      </c>
      <c r="N133" s="976"/>
      <c r="O133" s="1119">
        <f t="shared" si="23"/>
        <v>-806.68567480189563</v>
      </c>
      <c r="P133" s="1119">
        <f t="shared" si="22"/>
        <v>834.70472044811856</v>
      </c>
      <c r="Q133" s="1119">
        <f t="shared" si="22"/>
        <v>0</v>
      </c>
      <c r="R133" s="1119">
        <f t="shared" si="22"/>
        <v>31.44541525601797</v>
      </c>
      <c r="S133" s="1119">
        <f t="shared" si="22"/>
        <v>728.26984823413966</v>
      </c>
      <c r="T133" s="1119">
        <f t="shared" si="22"/>
        <v>-95.309108646485171</v>
      </c>
      <c r="U133" s="1119">
        <f t="shared" si="22"/>
        <v>-3.5856362779786122</v>
      </c>
      <c r="V133" s="1119">
        <f t="shared" si="22"/>
        <v>-296.46925773814843</v>
      </c>
      <c r="W133" s="1119">
        <f t="shared" si="22"/>
        <v>23.392442910364515</v>
      </c>
      <c r="X133" s="978"/>
      <c r="Y133" s="1120">
        <f t="shared" si="17"/>
        <v>17809.529831627045</v>
      </c>
      <c r="Z133" s="1354"/>
      <c r="AA133" s="1001">
        <v>0.28131838936845888</v>
      </c>
      <c r="AB133" s="978"/>
      <c r="AC133" s="1036">
        <f t="shared" si="18"/>
        <v>0.28131838936845888</v>
      </c>
      <c r="AD133" s="783">
        <f t="shared" si="19"/>
        <v>0.28100000000000003</v>
      </c>
      <c r="AE133" s="1321"/>
      <c r="AF133" s="1322"/>
      <c r="AG133" s="740"/>
    </row>
    <row r="134" spans="1:33">
      <c r="A134" s="96">
        <v>300322</v>
      </c>
      <c r="B134" s="1286" t="s">
        <v>276</v>
      </c>
      <c r="C134" s="782">
        <f>'TAR_Tab 2_Volumina'!N137</f>
        <v>1</v>
      </c>
      <c r="D134" s="976"/>
      <c r="E134" s="1318">
        <v>53583.041717047774</v>
      </c>
      <c r="F134" s="1116">
        <f t="shared" si="13"/>
        <v>50989.622497942662</v>
      </c>
      <c r="G134" s="1116">
        <f t="shared" si="14"/>
        <v>52181.301246728748</v>
      </c>
      <c r="H134" s="976"/>
      <c r="I134" s="1117">
        <f t="shared" si="20"/>
        <v>49572.236184392306</v>
      </c>
      <c r="J134" s="1117">
        <f t="shared" si="20"/>
        <v>54790.36630906519</v>
      </c>
      <c r="K134" s="1320"/>
      <c r="L134" s="1000" t="str">
        <f t="shared" si="15"/>
        <v/>
      </c>
      <c r="M134" s="1118">
        <f t="shared" si="16"/>
        <v>52181.301246728748</v>
      </c>
      <c r="N134" s="976"/>
      <c r="O134" s="1119">
        <f t="shared" si="23"/>
        <v>-2420.0570244056871</v>
      </c>
      <c r="P134" s="1119">
        <f t="shared" si="22"/>
        <v>2504.114161344356</v>
      </c>
      <c r="Q134" s="1119">
        <f t="shared" si="22"/>
        <v>0</v>
      </c>
      <c r="R134" s="1119">
        <f t="shared" si="22"/>
        <v>94.336245768053928</v>
      </c>
      <c r="S134" s="1119">
        <f t="shared" si="22"/>
        <v>2184.8095447024193</v>
      </c>
      <c r="T134" s="1119">
        <f t="shared" si="22"/>
        <v>-285.92732593945556</v>
      </c>
      <c r="U134" s="1119">
        <f t="shared" si="22"/>
        <v>-10.756908833935839</v>
      </c>
      <c r="V134" s="1119">
        <f t="shared" si="22"/>
        <v>-889.40777321444534</v>
      </c>
      <c r="W134" s="1119">
        <f t="shared" si="22"/>
        <v>70.177328731093553</v>
      </c>
      <c r="X134" s="978"/>
      <c r="Y134" s="1120">
        <f t="shared" si="17"/>
        <v>53428.589494881147</v>
      </c>
      <c r="Z134" s="1354"/>
      <c r="AA134" s="1001">
        <v>0.20787502020310794</v>
      </c>
      <c r="AB134" s="978"/>
      <c r="AC134" s="1036">
        <f t="shared" si="18"/>
        <v>0.20787502020310794</v>
      </c>
      <c r="AD134" s="783">
        <f t="shared" si="19"/>
        <v>0.20799999999999999</v>
      </c>
      <c r="AE134" s="1321"/>
      <c r="AF134" s="1322"/>
      <c r="AG134" s="740"/>
    </row>
    <row r="135" spans="1:33">
      <c r="A135" s="96">
        <v>300325</v>
      </c>
      <c r="B135" s="1286" t="s">
        <v>277</v>
      </c>
      <c r="C135" s="782">
        <f>'TAR_Tab 2_Volumina'!N138</f>
        <v>1</v>
      </c>
      <c r="D135" s="976"/>
      <c r="E135" s="1318">
        <v>35722.02781136518</v>
      </c>
      <c r="F135" s="1116">
        <f t="shared" ref="F135:F198" si="24">E135*$F$5*C135</f>
        <v>33993.081665295103</v>
      </c>
      <c r="G135" s="1116">
        <f t="shared" ref="G135:G198" si="25">F135*$G$5</f>
        <v>34787.534164485827</v>
      </c>
      <c r="H135" s="976"/>
      <c r="I135" s="1117">
        <f t="shared" si="20"/>
        <v>33048.157456261535</v>
      </c>
      <c r="J135" s="1117">
        <f t="shared" si="20"/>
        <v>36526.910872710119</v>
      </c>
      <c r="K135" s="1320"/>
      <c r="L135" s="1000" t="str">
        <f t="shared" si="15"/>
        <v/>
      </c>
      <c r="M135" s="1118">
        <f t="shared" si="16"/>
        <v>34787.534164485827</v>
      </c>
      <c r="N135" s="976"/>
      <c r="O135" s="1119">
        <f t="shared" si="23"/>
        <v>-1613.3713496037913</v>
      </c>
      <c r="P135" s="1119">
        <f t="shared" si="22"/>
        <v>1669.4094408962371</v>
      </c>
      <c r="Q135" s="1119">
        <f t="shared" si="22"/>
        <v>0</v>
      </c>
      <c r="R135" s="1119">
        <f t="shared" si="22"/>
        <v>62.89083051203594</v>
      </c>
      <c r="S135" s="1119">
        <f t="shared" si="22"/>
        <v>1456.5396964682793</v>
      </c>
      <c r="T135" s="1119">
        <f t="shared" si="22"/>
        <v>-190.61821729297034</v>
      </c>
      <c r="U135" s="1119">
        <f t="shared" si="22"/>
        <v>-7.1712725559572243</v>
      </c>
      <c r="V135" s="1119">
        <f t="shared" si="22"/>
        <v>-592.93851547629686</v>
      </c>
      <c r="W135" s="1119">
        <f t="shared" si="22"/>
        <v>46.784885820729031</v>
      </c>
      <c r="X135" s="978"/>
      <c r="Y135" s="1120">
        <f t="shared" si="17"/>
        <v>35619.059663254091</v>
      </c>
      <c r="Z135" s="1354"/>
      <c r="AA135" s="1001">
        <v>6.4864686654855633E-2</v>
      </c>
      <c r="AB135" s="978"/>
      <c r="AC135" s="1036">
        <f t="shared" si="18"/>
        <v>6.4864686654855633E-2</v>
      </c>
      <c r="AD135" s="783">
        <f t="shared" si="19"/>
        <v>6.5000000000000002E-2</v>
      </c>
      <c r="AE135" s="1321"/>
      <c r="AF135" s="1322"/>
      <c r="AG135" s="740"/>
    </row>
    <row r="136" spans="1:33">
      <c r="A136" s="96">
        <v>300328</v>
      </c>
      <c r="B136" s="1286" t="s">
        <v>96</v>
      </c>
      <c r="C136" s="782">
        <f>'TAR_Tab 2_Volumina'!N139</f>
        <v>0</v>
      </c>
      <c r="D136" s="976"/>
      <c r="E136" s="1318">
        <v>0</v>
      </c>
      <c r="F136" s="1116">
        <f t="shared" si="24"/>
        <v>0</v>
      </c>
      <c r="G136" s="1116">
        <f t="shared" si="25"/>
        <v>0</v>
      </c>
      <c r="H136" s="976"/>
      <c r="I136" s="1117">
        <f t="shared" si="20"/>
        <v>0</v>
      </c>
      <c r="J136" s="1117">
        <f t="shared" si="20"/>
        <v>0</v>
      </c>
      <c r="K136" s="1320"/>
      <c r="L136" s="1000" t="str">
        <f t="shared" ref="L136:L199" si="26">IF(K136&gt;0,AND(K136&gt;=I136,K136&lt;=J136),"")</f>
        <v/>
      </c>
      <c r="M136" s="1118">
        <f t="shared" ref="M136:M199" si="27">IF(K136&gt;0,K136,G136)</f>
        <v>0</v>
      </c>
      <c r="N136" s="976"/>
      <c r="O136" s="1119">
        <f t="shared" si="23"/>
        <v>0</v>
      </c>
      <c r="P136" s="1119">
        <f t="shared" si="22"/>
        <v>0</v>
      </c>
      <c r="Q136" s="1119">
        <f t="shared" si="22"/>
        <v>0</v>
      </c>
      <c r="R136" s="1119">
        <f t="shared" si="22"/>
        <v>0</v>
      </c>
      <c r="S136" s="1119">
        <f t="shared" si="22"/>
        <v>0</v>
      </c>
      <c r="T136" s="1119">
        <f t="shared" si="22"/>
        <v>0</v>
      </c>
      <c r="U136" s="1119">
        <f t="shared" si="22"/>
        <v>0</v>
      </c>
      <c r="V136" s="1119">
        <f t="shared" si="22"/>
        <v>0</v>
      </c>
      <c r="W136" s="1119">
        <f t="shared" si="22"/>
        <v>0</v>
      </c>
      <c r="X136" s="978"/>
      <c r="Y136" s="1120">
        <f t="shared" ref="Y136:Y199" si="28">M136+SUM(O136:W136)</f>
        <v>0</v>
      </c>
      <c r="Z136" s="1354"/>
      <c r="AA136" s="1001">
        <v>0</v>
      </c>
      <c r="AB136" s="978"/>
      <c r="AC136" s="1036">
        <f t="shared" ref="AC136:AC199" si="29">AA136</f>
        <v>0</v>
      </c>
      <c r="AD136" s="783">
        <f t="shared" ref="AD136:AD199" si="30">ROUND(AC136,3)</f>
        <v>0</v>
      </c>
      <c r="AE136" s="1321"/>
      <c r="AF136" s="1322"/>
      <c r="AG136" s="740"/>
    </row>
    <row r="137" spans="1:33">
      <c r="A137" s="96">
        <v>300330</v>
      </c>
      <c r="B137" s="1286" t="s">
        <v>97</v>
      </c>
      <c r="C137" s="782">
        <f>'TAR_Tab 2_Volumina'!N140</f>
        <v>1</v>
      </c>
      <c r="D137" s="976"/>
      <c r="E137" s="1318">
        <v>17861.01390568259</v>
      </c>
      <c r="F137" s="1116">
        <f t="shared" si="24"/>
        <v>16996.540832647552</v>
      </c>
      <c r="G137" s="1116">
        <f t="shared" si="25"/>
        <v>17393.767082242914</v>
      </c>
      <c r="H137" s="976"/>
      <c r="I137" s="1117">
        <f t="shared" si="20"/>
        <v>16524.078728130768</v>
      </c>
      <c r="J137" s="1117">
        <f t="shared" si="20"/>
        <v>18263.45543635506</v>
      </c>
      <c r="K137" s="1320"/>
      <c r="L137" s="1000" t="str">
        <f t="shared" si="26"/>
        <v/>
      </c>
      <c r="M137" s="1118">
        <f t="shared" si="27"/>
        <v>17393.767082242914</v>
      </c>
      <c r="N137" s="976"/>
      <c r="O137" s="1119">
        <f t="shared" si="23"/>
        <v>-806.68567480189563</v>
      </c>
      <c r="P137" s="1119">
        <f t="shared" si="22"/>
        <v>834.70472044811856</v>
      </c>
      <c r="Q137" s="1119">
        <f t="shared" si="22"/>
        <v>0</v>
      </c>
      <c r="R137" s="1119">
        <f t="shared" si="22"/>
        <v>31.44541525601797</v>
      </c>
      <c r="S137" s="1119">
        <f t="shared" si="22"/>
        <v>728.26984823413966</v>
      </c>
      <c r="T137" s="1119">
        <f t="shared" si="22"/>
        <v>-95.309108646485171</v>
      </c>
      <c r="U137" s="1119">
        <f t="shared" si="22"/>
        <v>-3.5856362779786122</v>
      </c>
      <c r="V137" s="1119">
        <f t="shared" si="22"/>
        <v>-296.46925773814843</v>
      </c>
      <c r="W137" s="1119">
        <f t="shared" si="22"/>
        <v>23.392442910364515</v>
      </c>
      <c r="X137" s="978"/>
      <c r="Y137" s="1120">
        <f t="shared" si="28"/>
        <v>17809.529831627045</v>
      </c>
      <c r="Z137" s="1354"/>
      <c r="AA137" s="1001">
        <v>0.31572923123764152</v>
      </c>
      <c r="AB137" s="978"/>
      <c r="AC137" s="1036">
        <f t="shared" si="29"/>
        <v>0.31572923123764152</v>
      </c>
      <c r="AD137" s="783">
        <f t="shared" si="30"/>
        <v>0.316</v>
      </c>
      <c r="AE137" s="1321"/>
      <c r="AF137" s="1322"/>
      <c r="AG137" s="740"/>
    </row>
    <row r="138" spans="1:33">
      <c r="A138" s="96">
        <v>300333</v>
      </c>
      <c r="B138" s="1286" t="s">
        <v>770</v>
      </c>
      <c r="C138" s="782">
        <f>'TAR_Tab 2_Volumina'!N141</f>
        <v>0</v>
      </c>
      <c r="D138" s="976"/>
      <c r="E138" s="1318">
        <v>0</v>
      </c>
      <c r="F138" s="1116">
        <f t="shared" si="24"/>
        <v>0</v>
      </c>
      <c r="G138" s="1116">
        <f t="shared" si="25"/>
        <v>0</v>
      </c>
      <c r="H138" s="976"/>
      <c r="I138" s="1117">
        <f t="shared" si="20"/>
        <v>0</v>
      </c>
      <c r="J138" s="1117">
        <f t="shared" si="20"/>
        <v>0</v>
      </c>
      <c r="K138" s="1320"/>
      <c r="L138" s="1000" t="str">
        <f t="shared" si="26"/>
        <v/>
      </c>
      <c r="M138" s="1118">
        <f t="shared" si="27"/>
        <v>0</v>
      </c>
      <c r="N138" s="976"/>
      <c r="O138" s="1119">
        <f t="shared" si="23"/>
        <v>0</v>
      </c>
      <c r="P138" s="1119">
        <f t="shared" si="22"/>
        <v>0</v>
      </c>
      <c r="Q138" s="1119">
        <f t="shared" si="22"/>
        <v>0</v>
      </c>
      <c r="R138" s="1119">
        <f t="shared" si="22"/>
        <v>0</v>
      </c>
      <c r="S138" s="1119">
        <f t="shared" si="22"/>
        <v>0</v>
      </c>
      <c r="T138" s="1119">
        <f t="shared" si="22"/>
        <v>0</v>
      </c>
      <c r="U138" s="1119">
        <f t="shared" si="22"/>
        <v>0</v>
      </c>
      <c r="V138" s="1119">
        <f t="shared" si="22"/>
        <v>0</v>
      </c>
      <c r="W138" s="1119">
        <f t="shared" si="22"/>
        <v>0</v>
      </c>
      <c r="X138" s="978"/>
      <c r="Y138" s="1120">
        <f t="shared" si="28"/>
        <v>0</v>
      </c>
      <c r="Z138" s="1354"/>
      <c r="AA138" s="1001">
        <v>0</v>
      </c>
      <c r="AB138" s="978"/>
      <c r="AC138" s="1036">
        <f t="shared" si="29"/>
        <v>0</v>
      </c>
      <c r="AD138" s="783">
        <f t="shared" si="30"/>
        <v>0</v>
      </c>
      <c r="AE138" s="1321"/>
      <c r="AF138" s="1322"/>
      <c r="AG138" s="740"/>
    </row>
    <row r="139" spans="1:33">
      <c r="A139" s="96">
        <v>300337</v>
      </c>
      <c r="B139" s="1286" t="s">
        <v>771</v>
      </c>
      <c r="C139" s="782">
        <f>'TAR_Tab 2_Volumina'!N142</f>
        <v>0</v>
      </c>
      <c r="D139" s="976"/>
      <c r="E139" s="1318">
        <v>0</v>
      </c>
      <c r="F139" s="1116">
        <f t="shared" si="24"/>
        <v>0</v>
      </c>
      <c r="G139" s="1116">
        <f t="shared" si="25"/>
        <v>0</v>
      </c>
      <c r="H139" s="976"/>
      <c r="I139" s="1117">
        <f t="shared" si="20"/>
        <v>0</v>
      </c>
      <c r="J139" s="1117">
        <f t="shared" si="20"/>
        <v>0</v>
      </c>
      <c r="K139" s="1320"/>
      <c r="L139" s="1000" t="str">
        <f t="shared" si="26"/>
        <v/>
      </c>
      <c r="M139" s="1118">
        <f t="shared" si="27"/>
        <v>0</v>
      </c>
      <c r="N139" s="976"/>
      <c r="O139" s="1119">
        <f t="shared" si="23"/>
        <v>0</v>
      </c>
      <c r="P139" s="1119">
        <f t="shared" si="22"/>
        <v>0</v>
      </c>
      <c r="Q139" s="1119">
        <f t="shared" si="22"/>
        <v>0</v>
      </c>
      <c r="R139" s="1119">
        <f t="shared" si="22"/>
        <v>0</v>
      </c>
      <c r="S139" s="1119">
        <f t="shared" si="22"/>
        <v>0</v>
      </c>
      <c r="T139" s="1119">
        <f t="shared" si="22"/>
        <v>0</v>
      </c>
      <c r="U139" s="1119">
        <f t="shared" si="22"/>
        <v>0</v>
      </c>
      <c r="V139" s="1119">
        <f t="shared" si="22"/>
        <v>0</v>
      </c>
      <c r="W139" s="1119">
        <f t="shared" si="22"/>
        <v>0</v>
      </c>
      <c r="X139" s="978"/>
      <c r="Y139" s="1120">
        <f t="shared" si="28"/>
        <v>0</v>
      </c>
      <c r="Z139" s="1354"/>
      <c r="AA139" s="1001">
        <v>0</v>
      </c>
      <c r="AB139" s="978"/>
      <c r="AC139" s="1036">
        <f t="shared" si="29"/>
        <v>0</v>
      </c>
      <c r="AD139" s="783">
        <f t="shared" si="30"/>
        <v>0</v>
      </c>
      <c r="AE139" s="1321"/>
      <c r="AF139" s="1322"/>
      <c r="AG139" s="740"/>
    </row>
    <row r="140" spans="1:33">
      <c r="A140" s="96">
        <v>300338</v>
      </c>
      <c r="B140" s="1286" t="s">
        <v>98</v>
      </c>
      <c r="C140" s="782">
        <f>'TAR_Tab 2_Volumina'!N143</f>
        <v>1</v>
      </c>
      <c r="D140" s="976"/>
      <c r="E140" s="1318">
        <v>17861.01390568259</v>
      </c>
      <c r="F140" s="1116">
        <f t="shared" si="24"/>
        <v>16996.540832647552</v>
      </c>
      <c r="G140" s="1116">
        <f t="shared" si="25"/>
        <v>17393.767082242914</v>
      </c>
      <c r="H140" s="976"/>
      <c r="I140" s="1117">
        <f t="shared" si="20"/>
        <v>16524.078728130768</v>
      </c>
      <c r="J140" s="1117">
        <f t="shared" si="20"/>
        <v>18263.45543635506</v>
      </c>
      <c r="K140" s="1320"/>
      <c r="L140" s="1000" t="str">
        <f t="shared" si="26"/>
        <v/>
      </c>
      <c r="M140" s="1118">
        <f t="shared" si="27"/>
        <v>17393.767082242914</v>
      </c>
      <c r="N140" s="976"/>
      <c r="O140" s="1119">
        <f t="shared" si="23"/>
        <v>-806.68567480189563</v>
      </c>
      <c r="P140" s="1119">
        <f t="shared" si="22"/>
        <v>834.70472044811856</v>
      </c>
      <c r="Q140" s="1119">
        <f t="shared" si="22"/>
        <v>0</v>
      </c>
      <c r="R140" s="1119">
        <f t="shared" si="22"/>
        <v>31.44541525601797</v>
      </c>
      <c r="S140" s="1119">
        <f t="shared" si="22"/>
        <v>728.26984823413966</v>
      </c>
      <c r="T140" s="1119">
        <f t="shared" si="22"/>
        <v>-95.309108646485171</v>
      </c>
      <c r="U140" s="1119">
        <f t="shared" si="22"/>
        <v>-3.5856362779786122</v>
      </c>
      <c r="V140" s="1119">
        <f t="shared" si="22"/>
        <v>-296.46925773814843</v>
      </c>
      <c r="W140" s="1119">
        <f t="shared" si="22"/>
        <v>23.392442910364515</v>
      </c>
      <c r="X140" s="978"/>
      <c r="Y140" s="1120">
        <f t="shared" si="28"/>
        <v>17809.529831627045</v>
      </c>
      <c r="Z140" s="1354"/>
      <c r="AA140" s="1001">
        <v>0.49401043944800982</v>
      </c>
      <c r="AB140" s="978"/>
      <c r="AC140" s="1036">
        <f t="shared" si="29"/>
        <v>0.49401043944800982</v>
      </c>
      <c r="AD140" s="783">
        <f t="shared" si="30"/>
        <v>0.49399999999999999</v>
      </c>
      <c r="AE140" s="1321"/>
      <c r="AF140" s="1322"/>
      <c r="AG140" s="740"/>
    </row>
    <row r="141" spans="1:33">
      <c r="A141" s="96">
        <v>300345</v>
      </c>
      <c r="B141" s="1286" t="s">
        <v>772</v>
      </c>
      <c r="C141" s="782">
        <f>'TAR_Tab 2_Volumina'!N144</f>
        <v>0</v>
      </c>
      <c r="D141" s="976"/>
      <c r="E141" s="1318">
        <v>0</v>
      </c>
      <c r="F141" s="1116">
        <f t="shared" si="24"/>
        <v>0</v>
      </c>
      <c r="G141" s="1116">
        <f t="shared" si="25"/>
        <v>0</v>
      </c>
      <c r="H141" s="976"/>
      <c r="I141" s="1117">
        <f t="shared" ref="I141:J204" si="31">$G141*I$5</f>
        <v>0</v>
      </c>
      <c r="J141" s="1117">
        <f t="shared" si="31"/>
        <v>0</v>
      </c>
      <c r="K141" s="1320"/>
      <c r="L141" s="1000" t="str">
        <f t="shared" si="26"/>
        <v/>
      </c>
      <c r="M141" s="1118">
        <f t="shared" si="27"/>
        <v>0</v>
      </c>
      <c r="N141" s="976"/>
      <c r="O141" s="1119">
        <f t="shared" si="23"/>
        <v>0</v>
      </c>
      <c r="P141" s="1119">
        <f t="shared" si="22"/>
        <v>0</v>
      </c>
      <c r="Q141" s="1119">
        <f t="shared" si="22"/>
        <v>0</v>
      </c>
      <c r="R141" s="1119">
        <f t="shared" si="22"/>
        <v>0</v>
      </c>
      <c r="S141" s="1119">
        <f t="shared" si="22"/>
        <v>0</v>
      </c>
      <c r="T141" s="1119">
        <f t="shared" si="22"/>
        <v>0</v>
      </c>
      <c r="U141" s="1119">
        <f t="shared" si="22"/>
        <v>0</v>
      </c>
      <c r="V141" s="1119">
        <f t="shared" si="22"/>
        <v>0</v>
      </c>
      <c r="W141" s="1119">
        <f t="shared" si="22"/>
        <v>0</v>
      </c>
      <c r="X141" s="978"/>
      <c r="Y141" s="1120">
        <f t="shared" si="28"/>
        <v>0</v>
      </c>
      <c r="Z141" s="1354"/>
      <c r="AA141" s="1001">
        <v>0</v>
      </c>
      <c r="AB141" s="978"/>
      <c r="AC141" s="1036">
        <f t="shared" si="29"/>
        <v>0</v>
      </c>
      <c r="AD141" s="783">
        <f t="shared" si="30"/>
        <v>0</v>
      </c>
      <c r="AE141" s="1321"/>
      <c r="AF141" s="1322"/>
      <c r="AG141" s="740"/>
    </row>
    <row r="142" spans="1:33">
      <c r="A142" s="96">
        <v>300348</v>
      </c>
      <c r="B142" s="1286" t="s">
        <v>773</v>
      </c>
      <c r="C142" s="782">
        <f>'TAR_Tab 2_Volumina'!N145</f>
        <v>0</v>
      </c>
      <c r="D142" s="976"/>
      <c r="E142" s="1318">
        <v>0</v>
      </c>
      <c r="F142" s="1116">
        <f t="shared" si="24"/>
        <v>0</v>
      </c>
      <c r="G142" s="1116">
        <f t="shared" si="25"/>
        <v>0</v>
      </c>
      <c r="H142" s="976"/>
      <c r="I142" s="1117">
        <f t="shared" si="31"/>
        <v>0</v>
      </c>
      <c r="J142" s="1117">
        <f t="shared" si="31"/>
        <v>0</v>
      </c>
      <c r="K142" s="1320"/>
      <c r="L142" s="1000" t="str">
        <f t="shared" si="26"/>
        <v/>
      </c>
      <c r="M142" s="1118">
        <f t="shared" si="27"/>
        <v>0</v>
      </c>
      <c r="N142" s="976"/>
      <c r="O142" s="1119">
        <f t="shared" si="23"/>
        <v>0</v>
      </c>
      <c r="P142" s="1119">
        <f t="shared" si="22"/>
        <v>0</v>
      </c>
      <c r="Q142" s="1119">
        <f t="shared" si="22"/>
        <v>0</v>
      </c>
      <c r="R142" s="1119">
        <f t="shared" si="22"/>
        <v>0</v>
      </c>
      <c r="S142" s="1119">
        <f t="shared" si="22"/>
        <v>0</v>
      </c>
      <c r="T142" s="1119">
        <f t="shared" si="22"/>
        <v>0</v>
      </c>
      <c r="U142" s="1119">
        <f t="shared" si="22"/>
        <v>0</v>
      </c>
      <c r="V142" s="1119">
        <f t="shared" si="22"/>
        <v>0</v>
      </c>
      <c r="W142" s="1119">
        <f t="shared" si="22"/>
        <v>0</v>
      </c>
      <c r="X142" s="978"/>
      <c r="Y142" s="1120">
        <f t="shared" si="28"/>
        <v>0</v>
      </c>
      <c r="Z142" s="1354"/>
      <c r="AA142" s="1001">
        <v>0</v>
      </c>
      <c r="AB142" s="978"/>
      <c r="AC142" s="1036">
        <f t="shared" si="29"/>
        <v>0</v>
      </c>
      <c r="AD142" s="783">
        <f t="shared" si="30"/>
        <v>0</v>
      </c>
      <c r="AE142" s="1321"/>
      <c r="AF142" s="1322"/>
      <c r="AG142" s="740"/>
    </row>
    <row r="143" spans="1:33">
      <c r="A143" s="96">
        <v>300350</v>
      </c>
      <c r="B143" s="1286" t="s">
        <v>774</v>
      </c>
      <c r="C143" s="782">
        <f>'TAR_Tab 2_Volumina'!N146</f>
        <v>1</v>
      </c>
      <c r="D143" s="976"/>
      <c r="E143" s="1318">
        <v>17861.01390568259</v>
      </c>
      <c r="F143" s="1116">
        <f t="shared" si="24"/>
        <v>16996.540832647552</v>
      </c>
      <c r="G143" s="1116">
        <f t="shared" si="25"/>
        <v>17393.767082242914</v>
      </c>
      <c r="H143" s="976"/>
      <c r="I143" s="1117">
        <f t="shared" si="31"/>
        <v>16524.078728130768</v>
      </c>
      <c r="J143" s="1117">
        <f t="shared" si="31"/>
        <v>18263.45543635506</v>
      </c>
      <c r="K143" s="1320"/>
      <c r="L143" s="1000" t="str">
        <f t="shared" si="26"/>
        <v/>
      </c>
      <c r="M143" s="1118">
        <f t="shared" si="27"/>
        <v>17393.767082242914</v>
      </c>
      <c r="N143" s="976"/>
      <c r="O143" s="1119">
        <f t="shared" si="23"/>
        <v>-806.68567480189563</v>
      </c>
      <c r="P143" s="1119">
        <f t="shared" si="22"/>
        <v>834.70472044811856</v>
      </c>
      <c r="Q143" s="1119">
        <f t="shared" si="22"/>
        <v>0</v>
      </c>
      <c r="R143" s="1119">
        <f t="shared" si="22"/>
        <v>31.44541525601797</v>
      </c>
      <c r="S143" s="1119">
        <f t="shared" si="22"/>
        <v>728.26984823413966</v>
      </c>
      <c r="T143" s="1119">
        <f t="shared" si="22"/>
        <v>-95.309108646485171</v>
      </c>
      <c r="U143" s="1119">
        <f t="shared" si="22"/>
        <v>-3.5856362779786122</v>
      </c>
      <c r="V143" s="1119">
        <f t="shared" si="22"/>
        <v>-296.46925773814843</v>
      </c>
      <c r="W143" s="1119">
        <f t="shared" si="22"/>
        <v>23.392442910364515</v>
      </c>
      <c r="X143" s="978"/>
      <c r="Y143" s="1120">
        <f t="shared" si="28"/>
        <v>17809.529831627045</v>
      </c>
      <c r="Z143" s="1354"/>
      <c r="AA143" s="1001">
        <v>0.11085798567781187</v>
      </c>
      <c r="AB143" s="978"/>
      <c r="AC143" s="1036">
        <f t="shared" si="29"/>
        <v>0.11085798567781187</v>
      </c>
      <c r="AD143" s="783">
        <f t="shared" si="30"/>
        <v>0.111</v>
      </c>
      <c r="AE143" s="1321"/>
      <c r="AF143" s="1322"/>
      <c r="AG143" s="740"/>
    </row>
    <row r="144" spans="1:33">
      <c r="A144" s="96">
        <v>300353</v>
      </c>
      <c r="B144" s="1286" t="s">
        <v>775</v>
      </c>
      <c r="C144" s="782">
        <f>'TAR_Tab 2_Volumina'!N147</f>
        <v>1</v>
      </c>
      <c r="D144" s="976"/>
      <c r="E144" s="1318">
        <v>17861.01390568259</v>
      </c>
      <c r="F144" s="1116">
        <f t="shared" si="24"/>
        <v>16996.540832647552</v>
      </c>
      <c r="G144" s="1116">
        <f t="shared" si="25"/>
        <v>17393.767082242914</v>
      </c>
      <c r="H144" s="976"/>
      <c r="I144" s="1117">
        <f t="shared" si="31"/>
        <v>16524.078728130768</v>
      </c>
      <c r="J144" s="1117">
        <f t="shared" si="31"/>
        <v>18263.45543635506</v>
      </c>
      <c r="K144" s="1320"/>
      <c r="L144" s="1000" t="str">
        <f t="shared" si="26"/>
        <v/>
      </c>
      <c r="M144" s="1118">
        <f t="shared" si="27"/>
        <v>17393.767082242914</v>
      </c>
      <c r="N144" s="976"/>
      <c r="O144" s="1119">
        <f t="shared" si="23"/>
        <v>-806.68567480189563</v>
      </c>
      <c r="P144" s="1119">
        <f t="shared" si="22"/>
        <v>834.70472044811856</v>
      </c>
      <c r="Q144" s="1119">
        <f t="shared" si="22"/>
        <v>0</v>
      </c>
      <c r="R144" s="1119">
        <f t="shared" si="22"/>
        <v>31.44541525601797</v>
      </c>
      <c r="S144" s="1119">
        <f t="shared" si="22"/>
        <v>728.26984823413966</v>
      </c>
      <c r="T144" s="1119">
        <f t="shared" si="22"/>
        <v>-95.309108646485171</v>
      </c>
      <c r="U144" s="1119">
        <f t="shared" si="22"/>
        <v>-3.5856362779786122</v>
      </c>
      <c r="V144" s="1119">
        <f t="shared" si="22"/>
        <v>-296.46925773814843</v>
      </c>
      <c r="W144" s="1119">
        <f t="shared" si="22"/>
        <v>23.392442910364515</v>
      </c>
      <c r="X144" s="978"/>
      <c r="Y144" s="1120">
        <f t="shared" si="28"/>
        <v>17809.529831627045</v>
      </c>
      <c r="Z144" s="1354"/>
      <c r="AA144" s="1001">
        <v>0.18956123919291398</v>
      </c>
      <c r="AB144" s="978"/>
      <c r="AC144" s="1036">
        <f t="shared" si="29"/>
        <v>0.18956123919291398</v>
      </c>
      <c r="AD144" s="783">
        <f t="shared" si="30"/>
        <v>0.19</v>
      </c>
      <c r="AE144" s="1321"/>
      <c r="AF144" s="1322"/>
      <c r="AG144" s="740"/>
    </row>
    <row r="145" spans="1:33">
      <c r="A145" s="96">
        <v>300355</v>
      </c>
      <c r="B145" s="1286" t="s">
        <v>776</v>
      </c>
      <c r="C145" s="782">
        <f>'TAR_Tab 2_Volumina'!N148</f>
        <v>1</v>
      </c>
      <c r="D145" s="976"/>
      <c r="E145" s="1318">
        <v>17861.01390568259</v>
      </c>
      <c r="F145" s="1116">
        <f t="shared" si="24"/>
        <v>16996.540832647552</v>
      </c>
      <c r="G145" s="1116">
        <f t="shared" si="25"/>
        <v>17393.767082242914</v>
      </c>
      <c r="H145" s="976"/>
      <c r="I145" s="1117">
        <f t="shared" si="31"/>
        <v>16524.078728130768</v>
      </c>
      <c r="J145" s="1117">
        <f t="shared" si="31"/>
        <v>18263.45543635506</v>
      </c>
      <c r="K145" s="1320"/>
      <c r="L145" s="1000" t="str">
        <f t="shared" si="26"/>
        <v/>
      </c>
      <c r="M145" s="1118">
        <f t="shared" si="27"/>
        <v>17393.767082242914</v>
      </c>
      <c r="N145" s="976"/>
      <c r="O145" s="1119">
        <f t="shared" si="23"/>
        <v>-806.68567480189563</v>
      </c>
      <c r="P145" s="1119">
        <f t="shared" si="22"/>
        <v>834.70472044811856</v>
      </c>
      <c r="Q145" s="1119">
        <f t="shared" si="22"/>
        <v>0</v>
      </c>
      <c r="R145" s="1119">
        <f t="shared" ref="P145:W177" si="32">$M145*R$5</f>
        <v>31.44541525601797</v>
      </c>
      <c r="S145" s="1119">
        <f t="shared" si="32"/>
        <v>728.26984823413966</v>
      </c>
      <c r="T145" s="1119">
        <f t="shared" si="32"/>
        <v>-95.309108646485171</v>
      </c>
      <c r="U145" s="1119">
        <f t="shared" si="32"/>
        <v>-3.5856362779786122</v>
      </c>
      <c r="V145" s="1119">
        <f t="shared" si="32"/>
        <v>-296.46925773814843</v>
      </c>
      <c r="W145" s="1119">
        <f t="shared" si="32"/>
        <v>23.392442910364515</v>
      </c>
      <c r="X145" s="978"/>
      <c r="Y145" s="1120">
        <f t="shared" si="28"/>
        <v>17809.529831627045</v>
      </c>
      <c r="Z145" s="1354"/>
      <c r="AA145" s="1001">
        <v>0.29295521070631014</v>
      </c>
      <c r="AB145" s="978"/>
      <c r="AC145" s="1036">
        <f t="shared" si="29"/>
        <v>0.29295521070631014</v>
      </c>
      <c r="AD145" s="783">
        <f t="shared" si="30"/>
        <v>0.29299999999999998</v>
      </c>
      <c r="AE145" s="1321"/>
      <c r="AF145" s="1322"/>
      <c r="AG145" s="740"/>
    </row>
    <row r="146" spans="1:33">
      <c r="A146" s="96">
        <v>300360</v>
      </c>
      <c r="B146" s="1286" t="s">
        <v>777</v>
      </c>
      <c r="C146" s="782">
        <f>'TAR_Tab 2_Volumina'!N149</f>
        <v>1</v>
      </c>
      <c r="D146" s="976"/>
      <c r="E146" s="1318">
        <v>35722.02781136518</v>
      </c>
      <c r="F146" s="1116">
        <f t="shared" si="24"/>
        <v>33993.081665295103</v>
      </c>
      <c r="G146" s="1116">
        <f t="shared" si="25"/>
        <v>34787.534164485827</v>
      </c>
      <c r="H146" s="976"/>
      <c r="I146" s="1117">
        <f t="shared" si="31"/>
        <v>33048.157456261535</v>
      </c>
      <c r="J146" s="1117">
        <f t="shared" si="31"/>
        <v>36526.910872710119</v>
      </c>
      <c r="K146" s="1320"/>
      <c r="L146" s="1000" t="str">
        <f t="shared" si="26"/>
        <v/>
      </c>
      <c r="M146" s="1118">
        <f t="shared" si="27"/>
        <v>34787.534164485827</v>
      </c>
      <c r="N146" s="976"/>
      <c r="O146" s="1119">
        <f t="shared" si="23"/>
        <v>-1613.3713496037913</v>
      </c>
      <c r="P146" s="1119">
        <f t="shared" si="32"/>
        <v>1669.4094408962371</v>
      </c>
      <c r="Q146" s="1119">
        <f t="shared" si="32"/>
        <v>0</v>
      </c>
      <c r="R146" s="1119">
        <f t="shared" si="32"/>
        <v>62.89083051203594</v>
      </c>
      <c r="S146" s="1119">
        <f t="shared" si="32"/>
        <v>1456.5396964682793</v>
      </c>
      <c r="T146" s="1119">
        <f t="shared" si="32"/>
        <v>-190.61821729297034</v>
      </c>
      <c r="U146" s="1119">
        <f t="shared" si="32"/>
        <v>-7.1712725559572243</v>
      </c>
      <c r="V146" s="1119">
        <f t="shared" si="32"/>
        <v>-592.93851547629686</v>
      </c>
      <c r="W146" s="1119">
        <f t="shared" si="32"/>
        <v>46.784885820729031</v>
      </c>
      <c r="X146" s="978"/>
      <c r="Y146" s="1120">
        <f t="shared" si="28"/>
        <v>35619.059663254091</v>
      </c>
      <c r="Z146" s="1354"/>
      <c r="AA146" s="1001">
        <v>0.45427445896345586</v>
      </c>
      <c r="AB146" s="978"/>
      <c r="AC146" s="1036">
        <f t="shared" si="29"/>
        <v>0.45427445896345586</v>
      </c>
      <c r="AD146" s="783">
        <f t="shared" si="30"/>
        <v>0.45400000000000001</v>
      </c>
      <c r="AE146" s="1321"/>
      <c r="AF146" s="1322"/>
      <c r="AG146" s="740"/>
    </row>
    <row r="147" spans="1:33">
      <c r="A147" s="96">
        <v>300363</v>
      </c>
      <c r="B147" s="1286" t="s">
        <v>778</v>
      </c>
      <c r="C147" s="782">
        <f>'TAR_Tab 2_Volumina'!N150</f>
        <v>0</v>
      </c>
      <c r="D147" s="976"/>
      <c r="E147" s="1318">
        <v>0</v>
      </c>
      <c r="F147" s="1116">
        <f t="shared" si="24"/>
        <v>0</v>
      </c>
      <c r="G147" s="1116">
        <f t="shared" si="25"/>
        <v>0</v>
      </c>
      <c r="H147" s="976"/>
      <c r="I147" s="1117">
        <f t="shared" si="31"/>
        <v>0</v>
      </c>
      <c r="J147" s="1117">
        <f t="shared" si="31"/>
        <v>0</v>
      </c>
      <c r="K147" s="1320"/>
      <c r="L147" s="1000" t="str">
        <f t="shared" si="26"/>
        <v/>
      </c>
      <c r="M147" s="1118">
        <f t="shared" si="27"/>
        <v>0</v>
      </c>
      <c r="N147" s="976"/>
      <c r="O147" s="1119">
        <f t="shared" si="23"/>
        <v>0</v>
      </c>
      <c r="P147" s="1119">
        <f t="shared" si="32"/>
        <v>0</v>
      </c>
      <c r="Q147" s="1119">
        <f t="shared" si="32"/>
        <v>0</v>
      </c>
      <c r="R147" s="1119">
        <f t="shared" si="32"/>
        <v>0</v>
      </c>
      <c r="S147" s="1119">
        <f t="shared" si="32"/>
        <v>0</v>
      </c>
      <c r="T147" s="1119">
        <f t="shared" si="32"/>
        <v>0</v>
      </c>
      <c r="U147" s="1119">
        <f t="shared" si="32"/>
        <v>0</v>
      </c>
      <c r="V147" s="1119">
        <f t="shared" si="32"/>
        <v>0</v>
      </c>
      <c r="W147" s="1119">
        <f t="shared" si="32"/>
        <v>0</v>
      </c>
      <c r="X147" s="978"/>
      <c r="Y147" s="1120">
        <f t="shared" si="28"/>
        <v>0</v>
      </c>
      <c r="Z147" s="1354"/>
      <c r="AA147" s="1001">
        <v>0</v>
      </c>
      <c r="AB147" s="978"/>
      <c r="AC147" s="1036">
        <f t="shared" si="29"/>
        <v>0</v>
      </c>
      <c r="AD147" s="783">
        <f t="shared" si="30"/>
        <v>0</v>
      </c>
      <c r="AE147" s="1321"/>
      <c r="AF147" s="1322"/>
      <c r="AG147" s="740"/>
    </row>
    <row r="148" spans="1:33">
      <c r="A148" s="96">
        <v>300366</v>
      </c>
      <c r="B148" s="1286" t="s">
        <v>779</v>
      </c>
      <c r="C148" s="782">
        <f>'TAR_Tab 2_Volumina'!N151</f>
        <v>0</v>
      </c>
      <c r="D148" s="976"/>
      <c r="E148" s="1318">
        <v>0</v>
      </c>
      <c r="F148" s="1116">
        <f t="shared" si="24"/>
        <v>0</v>
      </c>
      <c r="G148" s="1116">
        <f t="shared" si="25"/>
        <v>0</v>
      </c>
      <c r="H148" s="976"/>
      <c r="I148" s="1117">
        <f t="shared" si="31"/>
        <v>0</v>
      </c>
      <c r="J148" s="1117">
        <f t="shared" si="31"/>
        <v>0</v>
      </c>
      <c r="K148" s="1320"/>
      <c r="L148" s="1000" t="str">
        <f t="shared" si="26"/>
        <v/>
      </c>
      <c r="M148" s="1118">
        <f t="shared" si="27"/>
        <v>0</v>
      </c>
      <c r="N148" s="976"/>
      <c r="O148" s="1119">
        <f t="shared" si="23"/>
        <v>0</v>
      </c>
      <c r="P148" s="1119">
        <f t="shared" si="32"/>
        <v>0</v>
      </c>
      <c r="Q148" s="1119">
        <f t="shared" si="32"/>
        <v>0</v>
      </c>
      <c r="R148" s="1119">
        <f t="shared" si="32"/>
        <v>0</v>
      </c>
      <c r="S148" s="1119">
        <f t="shared" si="32"/>
        <v>0</v>
      </c>
      <c r="T148" s="1119">
        <f t="shared" si="32"/>
        <v>0</v>
      </c>
      <c r="U148" s="1119">
        <f t="shared" si="32"/>
        <v>0</v>
      </c>
      <c r="V148" s="1119">
        <f t="shared" si="32"/>
        <v>0</v>
      </c>
      <c r="W148" s="1119">
        <f t="shared" si="32"/>
        <v>0</v>
      </c>
      <c r="X148" s="978"/>
      <c r="Y148" s="1120">
        <f t="shared" si="28"/>
        <v>0</v>
      </c>
      <c r="Z148" s="1354"/>
      <c r="AA148" s="1001">
        <v>0</v>
      </c>
      <c r="AB148" s="978"/>
      <c r="AC148" s="1036">
        <f t="shared" si="29"/>
        <v>0</v>
      </c>
      <c r="AD148" s="783">
        <f t="shared" si="30"/>
        <v>0</v>
      </c>
      <c r="AE148" s="1321"/>
      <c r="AF148" s="1322"/>
      <c r="AG148" s="740"/>
    </row>
    <row r="149" spans="1:33">
      <c r="A149" s="96">
        <v>300373</v>
      </c>
      <c r="B149" s="1286" t="s">
        <v>780</v>
      </c>
      <c r="C149" s="782">
        <f>'TAR_Tab 2_Volumina'!N152</f>
        <v>1</v>
      </c>
      <c r="D149" s="976"/>
      <c r="E149" s="1318">
        <v>17861.01390568259</v>
      </c>
      <c r="F149" s="1116">
        <f t="shared" si="24"/>
        <v>16996.540832647552</v>
      </c>
      <c r="G149" s="1116">
        <f t="shared" si="25"/>
        <v>17393.767082242914</v>
      </c>
      <c r="H149" s="976"/>
      <c r="I149" s="1117">
        <f t="shared" si="31"/>
        <v>16524.078728130768</v>
      </c>
      <c r="J149" s="1117">
        <f t="shared" si="31"/>
        <v>18263.45543635506</v>
      </c>
      <c r="K149" s="1320"/>
      <c r="L149" s="1000" t="str">
        <f t="shared" si="26"/>
        <v/>
      </c>
      <c r="M149" s="1118">
        <f t="shared" si="27"/>
        <v>17393.767082242914</v>
      </c>
      <c r="N149" s="976"/>
      <c r="O149" s="1119">
        <f t="shared" si="23"/>
        <v>-806.68567480189563</v>
      </c>
      <c r="P149" s="1119">
        <f t="shared" si="32"/>
        <v>834.70472044811856</v>
      </c>
      <c r="Q149" s="1119">
        <f t="shared" si="32"/>
        <v>0</v>
      </c>
      <c r="R149" s="1119">
        <f t="shared" si="32"/>
        <v>31.44541525601797</v>
      </c>
      <c r="S149" s="1119">
        <f t="shared" si="32"/>
        <v>728.26984823413966</v>
      </c>
      <c r="T149" s="1119">
        <f t="shared" si="32"/>
        <v>-95.309108646485171</v>
      </c>
      <c r="U149" s="1119">
        <f t="shared" si="32"/>
        <v>-3.5856362779786122</v>
      </c>
      <c r="V149" s="1119">
        <f t="shared" si="32"/>
        <v>-296.46925773814843</v>
      </c>
      <c r="W149" s="1119">
        <f t="shared" si="32"/>
        <v>23.392442910364515</v>
      </c>
      <c r="X149" s="978"/>
      <c r="Y149" s="1120">
        <f t="shared" si="28"/>
        <v>17809.529831627045</v>
      </c>
      <c r="Z149" s="1354"/>
      <c r="AA149" s="1001">
        <v>0.59776859741847299</v>
      </c>
      <c r="AB149" s="978"/>
      <c r="AC149" s="1036">
        <f t="shared" si="29"/>
        <v>0.59776859741847299</v>
      </c>
      <c r="AD149" s="783">
        <f t="shared" si="30"/>
        <v>0.59799999999999998</v>
      </c>
      <c r="AE149" s="1321"/>
      <c r="AF149" s="1322"/>
      <c r="AG149" s="740"/>
    </row>
    <row r="150" spans="1:33">
      <c r="A150" s="96">
        <v>300375</v>
      </c>
      <c r="B150" s="1286" t="s">
        <v>781</v>
      </c>
      <c r="C150" s="782">
        <f>'TAR_Tab 2_Volumina'!N153</f>
        <v>0</v>
      </c>
      <c r="D150" s="976"/>
      <c r="E150" s="1318">
        <v>0</v>
      </c>
      <c r="F150" s="1116">
        <f t="shared" si="24"/>
        <v>0</v>
      </c>
      <c r="G150" s="1116">
        <f t="shared" si="25"/>
        <v>0</v>
      </c>
      <c r="H150" s="976"/>
      <c r="I150" s="1117">
        <f t="shared" si="31"/>
        <v>0</v>
      </c>
      <c r="J150" s="1117">
        <f t="shared" si="31"/>
        <v>0</v>
      </c>
      <c r="K150" s="1320"/>
      <c r="L150" s="1000" t="str">
        <f t="shared" si="26"/>
        <v/>
      </c>
      <c r="M150" s="1118">
        <f t="shared" si="27"/>
        <v>0</v>
      </c>
      <c r="N150" s="976"/>
      <c r="O150" s="1119">
        <f t="shared" si="23"/>
        <v>0</v>
      </c>
      <c r="P150" s="1119">
        <f t="shared" si="32"/>
        <v>0</v>
      </c>
      <c r="Q150" s="1119">
        <f t="shared" si="32"/>
        <v>0</v>
      </c>
      <c r="R150" s="1119">
        <f t="shared" si="32"/>
        <v>0</v>
      </c>
      <c r="S150" s="1119">
        <f t="shared" si="32"/>
        <v>0</v>
      </c>
      <c r="T150" s="1119">
        <f t="shared" si="32"/>
        <v>0</v>
      </c>
      <c r="U150" s="1119">
        <f t="shared" si="32"/>
        <v>0</v>
      </c>
      <c r="V150" s="1119">
        <f t="shared" si="32"/>
        <v>0</v>
      </c>
      <c r="W150" s="1119">
        <f t="shared" si="32"/>
        <v>0</v>
      </c>
      <c r="X150" s="978"/>
      <c r="Y150" s="1120">
        <f t="shared" si="28"/>
        <v>0</v>
      </c>
      <c r="Z150" s="1354"/>
      <c r="AA150" s="1001">
        <v>0</v>
      </c>
      <c r="AB150" s="978"/>
      <c r="AC150" s="1036">
        <f t="shared" si="29"/>
        <v>0</v>
      </c>
      <c r="AD150" s="783">
        <f t="shared" si="30"/>
        <v>0</v>
      </c>
      <c r="AE150" s="1321"/>
      <c r="AF150" s="1322"/>
      <c r="AG150" s="740"/>
    </row>
    <row r="151" spans="1:33">
      <c r="A151" s="96">
        <v>300378</v>
      </c>
      <c r="B151" s="1286" t="s">
        <v>782</v>
      </c>
      <c r="C151" s="782">
        <f>'TAR_Tab 2_Volumina'!N154</f>
        <v>0</v>
      </c>
      <c r="D151" s="976"/>
      <c r="E151" s="1318">
        <v>0</v>
      </c>
      <c r="F151" s="1116">
        <f t="shared" si="24"/>
        <v>0</v>
      </c>
      <c r="G151" s="1116">
        <f t="shared" si="25"/>
        <v>0</v>
      </c>
      <c r="H151" s="976"/>
      <c r="I151" s="1117">
        <f t="shared" si="31"/>
        <v>0</v>
      </c>
      <c r="J151" s="1117">
        <f t="shared" si="31"/>
        <v>0</v>
      </c>
      <c r="K151" s="1320"/>
      <c r="L151" s="1000" t="str">
        <f t="shared" si="26"/>
        <v/>
      </c>
      <c r="M151" s="1118">
        <f t="shared" si="27"/>
        <v>0</v>
      </c>
      <c r="N151" s="976"/>
      <c r="O151" s="1119">
        <f t="shared" si="23"/>
        <v>0</v>
      </c>
      <c r="P151" s="1119">
        <f t="shared" si="32"/>
        <v>0</v>
      </c>
      <c r="Q151" s="1119">
        <f t="shared" si="32"/>
        <v>0</v>
      </c>
      <c r="R151" s="1119">
        <f t="shared" si="32"/>
        <v>0</v>
      </c>
      <c r="S151" s="1119">
        <f t="shared" si="32"/>
        <v>0</v>
      </c>
      <c r="T151" s="1119">
        <f t="shared" si="32"/>
        <v>0</v>
      </c>
      <c r="U151" s="1119">
        <f t="shared" si="32"/>
        <v>0</v>
      </c>
      <c r="V151" s="1119">
        <f t="shared" si="32"/>
        <v>0</v>
      </c>
      <c r="W151" s="1119">
        <f t="shared" si="32"/>
        <v>0</v>
      </c>
      <c r="X151" s="978"/>
      <c r="Y151" s="1120">
        <f t="shared" si="28"/>
        <v>0</v>
      </c>
      <c r="Z151" s="1354"/>
      <c r="AA151" s="1001">
        <v>0</v>
      </c>
      <c r="AB151" s="978"/>
      <c r="AC151" s="1036">
        <f t="shared" si="29"/>
        <v>0</v>
      </c>
      <c r="AD151" s="783">
        <f t="shared" si="30"/>
        <v>0</v>
      </c>
      <c r="AE151" s="1321"/>
      <c r="AF151" s="1322"/>
      <c r="AG151" s="740"/>
    </row>
    <row r="152" spans="1:33">
      <c r="A152" s="96">
        <v>300380</v>
      </c>
      <c r="B152" s="1286" t="s">
        <v>783</v>
      </c>
      <c r="C152" s="782">
        <f>'TAR_Tab 2_Volumina'!N155</f>
        <v>0</v>
      </c>
      <c r="D152" s="976"/>
      <c r="E152" s="1318">
        <v>0</v>
      </c>
      <c r="F152" s="1116">
        <f t="shared" si="24"/>
        <v>0</v>
      </c>
      <c r="G152" s="1116">
        <f t="shared" si="25"/>
        <v>0</v>
      </c>
      <c r="H152" s="976"/>
      <c r="I152" s="1117">
        <f t="shared" si="31"/>
        <v>0</v>
      </c>
      <c r="J152" s="1117">
        <f t="shared" si="31"/>
        <v>0</v>
      </c>
      <c r="K152" s="1320"/>
      <c r="L152" s="1000" t="str">
        <f t="shared" si="26"/>
        <v/>
      </c>
      <c r="M152" s="1118">
        <f t="shared" si="27"/>
        <v>0</v>
      </c>
      <c r="N152" s="976"/>
      <c r="O152" s="1119">
        <f t="shared" si="23"/>
        <v>0</v>
      </c>
      <c r="P152" s="1119">
        <f t="shared" si="32"/>
        <v>0</v>
      </c>
      <c r="Q152" s="1119">
        <f t="shared" si="32"/>
        <v>0</v>
      </c>
      <c r="R152" s="1119">
        <f t="shared" si="32"/>
        <v>0</v>
      </c>
      <c r="S152" s="1119">
        <f t="shared" si="32"/>
        <v>0</v>
      </c>
      <c r="T152" s="1119">
        <f t="shared" si="32"/>
        <v>0</v>
      </c>
      <c r="U152" s="1119">
        <f t="shared" si="32"/>
        <v>0</v>
      </c>
      <c r="V152" s="1119">
        <f t="shared" si="32"/>
        <v>0</v>
      </c>
      <c r="W152" s="1119">
        <f t="shared" si="32"/>
        <v>0</v>
      </c>
      <c r="X152" s="978"/>
      <c r="Y152" s="1120">
        <f t="shared" si="28"/>
        <v>0</v>
      </c>
      <c r="Z152" s="1354"/>
      <c r="AA152" s="1001">
        <v>0</v>
      </c>
      <c r="AB152" s="978"/>
      <c r="AC152" s="1036">
        <f t="shared" si="29"/>
        <v>0</v>
      </c>
      <c r="AD152" s="783">
        <f t="shared" si="30"/>
        <v>0</v>
      </c>
      <c r="AE152" s="1321"/>
      <c r="AF152" s="1322"/>
      <c r="AG152" s="740"/>
    </row>
    <row r="153" spans="1:33">
      <c r="A153" s="96">
        <v>300382</v>
      </c>
      <c r="B153" s="1286" t="s">
        <v>784</v>
      </c>
      <c r="C153" s="782">
        <f>'TAR_Tab 2_Volumina'!N156</f>
        <v>0</v>
      </c>
      <c r="D153" s="976"/>
      <c r="E153" s="1318">
        <v>0</v>
      </c>
      <c r="F153" s="1116">
        <f t="shared" si="24"/>
        <v>0</v>
      </c>
      <c r="G153" s="1116">
        <f t="shared" si="25"/>
        <v>0</v>
      </c>
      <c r="H153" s="976"/>
      <c r="I153" s="1117">
        <f t="shared" si="31"/>
        <v>0</v>
      </c>
      <c r="J153" s="1117">
        <f t="shared" si="31"/>
        <v>0</v>
      </c>
      <c r="K153" s="1320"/>
      <c r="L153" s="1000" t="str">
        <f t="shared" si="26"/>
        <v/>
      </c>
      <c r="M153" s="1118">
        <f t="shared" si="27"/>
        <v>0</v>
      </c>
      <c r="N153" s="976"/>
      <c r="O153" s="1119">
        <f t="shared" si="23"/>
        <v>0</v>
      </c>
      <c r="P153" s="1119">
        <f t="shared" si="32"/>
        <v>0</v>
      </c>
      <c r="Q153" s="1119">
        <f t="shared" si="32"/>
        <v>0</v>
      </c>
      <c r="R153" s="1119">
        <f t="shared" si="32"/>
        <v>0</v>
      </c>
      <c r="S153" s="1119">
        <f t="shared" si="32"/>
        <v>0</v>
      </c>
      <c r="T153" s="1119">
        <f t="shared" si="32"/>
        <v>0</v>
      </c>
      <c r="U153" s="1119">
        <f t="shared" si="32"/>
        <v>0</v>
      </c>
      <c r="V153" s="1119">
        <f t="shared" si="32"/>
        <v>0</v>
      </c>
      <c r="W153" s="1119">
        <f t="shared" si="32"/>
        <v>0</v>
      </c>
      <c r="X153" s="978"/>
      <c r="Y153" s="1120">
        <f t="shared" si="28"/>
        <v>0</v>
      </c>
      <c r="Z153" s="1354"/>
      <c r="AA153" s="1001">
        <v>0</v>
      </c>
      <c r="AB153" s="978"/>
      <c r="AC153" s="1036">
        <f t="shared" si="29"/>
        <v>0</v>
      </c>
      <c r="AD153" s="783">
        <f t="shared" si="30"/>
        <v>0</v>
      </c>
      <c r="AE153" s="1321"/>
      <c r="AF153" s="1322"/>
      <c r="AG153" s="740"/>
    </row>
    <row r="154" spans="1:33">
      <c r="A154" s="96">
        <v>300394</v>
      </c>
      <c r="B154" s="1286" t="s">
        <v>99</v>
      </c>
      <c r="C154" s="782">
        <f>'TAR_Tab 2_Volumina'!N157</f>
        <v>0</v>
      </c>
      <c r="D154" s="976"/>
      <c r="E154" s="1318">
        <v>0</v>
      </c>
      <c r="F154" s="1116">
        <f t="shared" si="24"/>
        <v>0</v>
      </c>
      <c r="G154" s="1116">
        <f t="shared" si="25"/>
        <v>0</v>
      </c>
      <c r="H154" s="976"/>
      <c r="I154" s="1117">
        <f t="shared" si="31"/>
        <v>0</v>
      </c>
      <c r="J154" s="1117">
        <f t="shared" si="31"/>
        <v>0</v>
      </c>
      <c r="K154" s="1320"/>
      <c r="L154" s="1000" t="str">
        <f t="shared" si="26"/>
        <v/>
      </c>
      <c r="M154" s="1118">
        <f t="shared" si="27"/>
        <v>0</v>
      </c>
      <c r="N154" s="976"/>
      <c r="O154" s="1119">
        <f t="shared" si="23"/>
        <v>0</v>
      </c>
      <c r="P154" s="1119">
        <f t="shared" si="32"/>
        <v>0</v>
      </c>
      <c r="Q154" s="1119">
        <f t="shared" si="32"/>
        <v>0</v>
      </c>
      <c r="R154" s="1119">
        <f t="shared" si="32"/>
        <v>0</v>
      </c>
      <c r="S154" s="1119">
        <f t="shared" si="32"/>
        <v>0</v>
      </c>
      <c r="T154" s="1119">
        <f t="shared" si="32"/>
        <v>0</v>
      </c>
      <c r="U154" s="1119">
        <f t="shared" si="32"/>
        <v>0</v>
      </c>
      <c r="V154" s="1119">
        <f t="shared" si="32"/>
        <v>0</v>
      </c>
      <c r="W154" s="1119">
        <f t="shared" si="32"/>
        <v>0</v>
      </c>
      <c r="X154" s="978"/>
      <c r="Y154" s="1120">
        <f t="shared" si="28"/>
        <v>0</v>
      </c>
      <c r="Z154" s="1354"/>
      <c r="AA154" s="1001">
        <v>0</v>
      </c>
      <c r="AB154" s="978"/>
      <c r="AC154" s="1036">
        <f t="shared" si="29"/>
        <v>0</v>
      </c>
      <c r="AD154" s="783">
        <f t="shared" si="30"/>
        <v>0</v>
      </c>
      <c r="AE154" s="1321"/>
      <c r="AF154" s="1322"/>
      <c r="AG154" s="740"/>
    </row>
    <row r="155" spans="1:33">
      <c r="A155" s="96">
        <v>300400</v>
      </c>
      <c r="B155" s="1286" t="s">
        <v>109</v>
      </c>
      <c r="C155" s="782">
        <f>'TAR_Tab 2_Volumina'!N158</f>
        <v>0</v>
      </c>
      <c r="D155" s="976"/>
      <c r="E155" s="1318">
        <v>0</v>
      </c>
      <c r="F155" s="1116">
        <f t="shared" si="24"/>
        <v>0</v>
      </c>
      <c r="G155" s="1116">
        <f t="shared" si="25"/>
        <v>0</v>
      </c>
      <c r="H155" s="976"/>
      <c r="I155" s="1117">
        <f t="shared" si="31"/>
        <v>0</v>
      </c>
      <c r="J155" s="1117">
        <f t="shared" si="31"/>
        <v>0</v>
      </c>
      <c r="K155" s="1320"/>
      <c r="L155" s="1000" t="str">
        <f t="shared" si="26"/>
        <v/>
      </c>
      <c r="M155" s="1118">
        <f t="shared" si="27"/>
        <v>0</v>
      </c>
      <c r="N155" s="976"/>
      <c r="O155" s="1119">
        <f t="shared" si="23"/>
        <v>0</v>
      </c>
      <c r="P155" s="1119">
        <f t="shared" si="32"/>
        <v>0</v>
      </c>
      <c r="Q155" s="1119">
        <f t="shared" si="32"/>
        <v>0</v>
      </c>
      <c r="R155" s="1119">
        <f t="shared" si="32"/>
        <v>0</v>
      </c>
      <c r="S155" s="1119">
        <f t="shared" si="32"/>
        <v>0</v>
      </c>
      <c r="T155" s="1119">
        <f t="shared" si="32"/>
        <v>0</v>
      </c>
      <c r="U155" s="1119">
        <f t="shared" si="32"/>
        <v>0</v>
      </c>
      <c r="V155" s="1119">
        <f t="shared" si="32"/>
        <v>0</v>
      </c>
      <c r="W155" s="1119">
        <f t="shared" si="32"/>
        <v>0</v>
      </c>
      <c r="X155" s="978"/>
      <c r="Y155" s="1120">
        <f t="shared" si="28"/>
        <v>0</v>
      </c>
      <c r="Z155" s="1354"/>
      <c r="AA155" s="1001">
        <v>0</v>
      </c>
      <c r="AB155" s="978"/>
      <c r="AC155" s="1036">
        <f t="shared" si="29"/>
        <v>0</v>
      </c>
      <c r="AD155" s="783">
        <f t="shared" si="30"/>
        <v>0</v>
      </c>
      <c r="AE155" s="1321"/>
      <c r="AF155" s="1322"/>
      <c r="AG155" s="740"/>
    </row>
    <row r="156" spans="1:33">
      <c r="A156" s="96">
        <v>300405</v>
      </c>
      <c r="B156" s="1286" t="s">
        <v>110</v>
      </c>
      <c r="C156" s="782">
        <f>'TAR_Tab 2_Volumina'!N159</f>
        <v>0</v>
      </c>
      <c r="D156" s="976"/>
      <c r="E156" s="1318">
        <v>0</v>
      </c>
      <c r="F156" s="1116">
        <f t="shared" si="24"/>
        <v>0</v>
      </c>
      <c r="G156" s="1116">
        <f t="shared" si="25"/>
        <v>0</v>
      </c>
      <c r="H156" s="976"/>
      <c r="I156" s="1117">
        <f t="shared" si="31"/>
        <v>0</v>
      </c>
      <c r="J156" s="1117">
        <f t="shared" si="31"/>
        <v>0</v>
      </c>
      <c r="K156" s="1320"/>
      <c r="L156" s="1000" t="str">
        <f t="shared" si="26"/>
        <v/>
      </c>
      <c r="M156" s="1118">
        <f t="shared" si="27"/>
        <v>0</v>
      </c>
      <c r="N156" s="976"/>
      <c r="O156" s="1119">
        <f t="shared" si="23"/>
        <v>0</v>
      </c>
      <c r="P156" s="1119">
        <f t="shared" si="32"/>
        <v>0</v>
      </c>
      <c r="Q156" s="1119">
        <f t="shared" si="32"/>
        <v>0</v>
      </c>
      <c r="R156" s="1119">
        <f t="shared" si="32"/>
        <v>0</v>
      </c>
      <c r="S156" s="1119">
        <f t="shared" si="32"/>
        <v>0</v>
      </c>
      <c r="T156" s="1119">
        <f t="shared" si="32"/>
        <v>0</v>
      </c>
      <c r="U156" s="1119">
        <f t="shared" si="32"/>
        <v>0</v>
      </c>
      <c r="V156" s="1119">
        <f t="shared" si="32"/>
        <v>0</v>
      </c>
      <c r="W156" s="1119">
        <f t="shared" si="32"/>
        <v>0</v>
      </c>
      <c r="X156" s="978"/>
      <c r="Y156" s="1120">
        <f t="shared" si="28"/>
        <v>0</v>
      </c>
      <c r="Z156" s="1354"/>
      <c r="AA156" s="1001">
        <v>0</v>
      </c>
      <c r="AB156" s="978"/>
      <c r="AC156" s="1036">
        <f t="shared" si="29"/>
        <v>0</v>
      </c>
      <c r="AD156" s="783">
        <f t="shared" si="30"/>
        <v>0</v>
      </c>
      <c r="AE156" s="1321"/>
      <c r="AF156" s="1322"/>
      <c r="AG156" s="740"/>
    </row>
    <row r="157" spans="1:33">
      <c r="A157" s="96">
        <v>300406</v>
      </c>
      <c r="B157" s="1286" t="s">
        <v>111</v>
      </c>
      <c r="C157" s="782">
        <f>'TAR_Tab 2_Volumina'!N160</f>
        <v>1</v>
      </c>
      <c r="D157" s="976"/>
      <c r="E157" s="1318">
        <v>17861.01390568259</v>
      </c>
      <c r="F157" s="1116">
        <f t="shared" si="24"/>
        <v>16996.540832647552</v>
      </c>
      <c r="G157" s="1116">
        <f t="shared" si="25"/>
        <v>17393.767082242914</v>
      </c>
      <c r="H157" s="976"/>
      <c r="I157" s="1117">
        <f t="shared" si="31"/>
        <v>16524.078728130768</v>
      </c>
      <c r="J157" s="1117">
        <f t="shared" si="31"/>
        <v>18263.45543635506</v>
      </c>
      <c r="K157" s="1320"/>
      <c r="L157" s="1000" t="str">
        <f t="shared" si="26"/>
        <v/>
      </c>
      <c r="M157" s="1118">
        <f t="shared" si="27"/>
        <v>17393.767082242914</v>
      </c>
      <c r="N157" s="976"/>
      <c r="O157" s="1119">
        <f t="shared" si="23"/>
        <v>-806.68567480189563</v>
      </c>
      <c r="P157" s="1119">
        <f t="shared" si="32"/>
        <v>834.70472044811856</v>
      </c>
      <c r="Q157" s="1119">
        <f t="shared" si="32"/>
        <v>0</v>
      </c>
      <c r="R157" s="1119">
        <f t="shared" si="32"/>
        <v>31.44541525601797</v>
      </c>
      <c r="S157" s="1119">
        <f t="shared" si="32"/>
        <v>728.26984823413966</v>
      </c>
      <c r="T157" s="1119">
        <f t="shared" si="32"/>
        <v>-95.309108646485171</v>
      </c>
      <c r="U157" s="1119">
        <f t="shared" si="32"/>
        <v>-3.5856362779786122</v>
      </c>
      <c r="V157" s="1119">
        <f t="shared" si="32"/>
        <v>-296.46925773814843</v>
      </c>
      <c r="W157" s="1119">
        <f t="shared" si="32"/>
        <v>23.392442910364515</v>
      </c>
      <c r="X157" s="978"/>
      <c r="Y157" s="1120">
        <f t="shared" si="28"/>
        <v>17809.529831627045</v>
      </c>
      <c r="Z157" s="1354"/>
      <c r="AA157" s="1001">
        <v>0.82358058735634587</v>
      </c>
      <c r="AB157" s="978"/>
      <c r="AC157" s="1036">
        <f t="shared" si="29"/>
        <v>0.82358058735634587</v>
      </c>
      <c r="AD157" s="783">
        <f t="shared" si="30"/>
        <v>0.82399999999999995</v>
      </c>
      <c r="AE157" s="1321"/>
      <c r="AF157" s="1322"/>
      <c r="AG157" s="740"/>
    </row>
    <row r="158" spans="1:33">
      <c r="A158" s="96">
        <v>300407</v>
      </c>
      <c r="B158" s="1286" t="s">
        <v>112</v>
      </c>
      <c r="C158" s="782">
        <f>'TAR_Tab 2_Volumina'!N161</f>
        <v>1</v>
      </c>
      <c r="D158" s="976"/>
      <c r="E158" s="1318">
        <v>17861.01390568259</v>
      </c>
      <c r="F158" s="1116">
        <f t="shared" si="24"/>
        <v>16996.540832647552</v>
      </c>
      <c r="G158" s="1116">
        <f t="shared" si="25"/>
        <v>17393.767082242914</v>
      </c>
      <c r="H158" s="976"/>
      <c r="I158" s="1117">
        <f t="shared" si="31"/>
        <v>16524.078728130768</v>
      </c>
      <c r="J158" s="1117">
        <f t="shared" si="31"/>
        <v>18263.45543635506</v>
      </c>
      <c r="K158" s="1320"/>
      <c r="L158" s="1000" t="str">
        <f t="shared" si="26"/>
        <v/>
      </c>
      <c r="M158" s="1118">
        <f t="shared" si="27"/>
        <v>17393.767082242914</v>
      </c>
      <c r="N158" s="976"/>
      <c r="O158" s="1119">
        <f t="shared" si="23"/>
        <v>-806.68567480189563</v>
      </c>
      <c r="P158" s="1119">
        <f t="shared" si="32"/>
        <v>834.70472044811856</v>
      </c>
      <c r="Q158" s="1119">
        <f t="shared" si="32"/>
        <v>0</v>
      </c>
      <c r="R158" s="1119">
        <f t="shared" si="32"/>
        <v>31.44541525601797</v>
      </c>
      <c r="S158" s="1119">
        <f t="shared" si="32"/>
        <v>728.26984823413966</v>
      </c>
      <c r="T158" s="1119">
        <f t="shared" si="32"/>
        <v>-95.309108646485171</v>
      </c>
      <c r="U158" s="1119">
        <f t="shared" si="32"/>
        <v>-3.5856362779786122</v>
      </c>
      <c r="V158" s="1119">
        <f t="shared" si="32"/>
        <v>-296.46925773814843</v>
      </c>
      <c r="W158" s="1119">
        <f t="shared" si="32"/>
        <v>23.392442910364515</v>
      </c>
      <c r="X158" s="978"/>
      <c r="Y158" s="1120">
        <f t="shared" si="28"/>
        <v>17809.529831627045</v>
      </c>
      <c r="Z158" s="1354"/>
      <c r="AA158" s="1001">
        <v>0.11776892471832638</v>
      </c>
      <c r="AB158" s="978"/>
      <c r="AC158" s="1036">
        <f t="shared" si="29"/>
        <v>0.11776892471832638</v>
      </c>
      <c r="AD158" s="783">
        <f t="shared" si="30"/>
        <v>0.11799999999999999</v>
      </c>
      <c r="AE158" s="1321"/>
      <c r="AF158" s="1322"/>
      <c r="AG158" s="740"/>
    </row>
    <row r="159" spans="1:33">
      <c r="A159" s="96">
        <v>300412</v>
      </c>
      <c r="B159" s="1286" t="s">
        <v>113</v>
      </c>
      <c r="C159" s="782">
        <f>'TAR_Tab 2_Volumina'!N162</f>
        <v>1</v>
      </c>
      <c r="D159" s="976"/>
      <c r="E159" s="1318">
        <v>17861.01390568259</v>
      </c>
      <c r="F159" s="1116">
        <f t="shared" si="24"/>
        <v>16996.540832647552</v>
      </c>
      <c r="G159" s="1116">
        <f t="shared" si="25"/>
        <v>17393.767082242914</v>
      </c>
      <c r="H159" s="976"/>
      <c r="I159" s="1117">
        <f t="shared" si="31"/>
        <v>16524.078728130768</v>
      </c>
      <c r="J159" s="1117">
        <f t="shared" si="31"/>
        <v>18263.45543635506</v>
      </c>
      <c r="K159" s="1320"/>
      <c r="L159" s="1000" t="str">
        <f t="shared" si="26"/>
        <v/>
      </c>
      <c r="M159" s="1118">
        <f t="shared" si="27"/>
        <v>17393.767082242914</v>
      </c>
      <c r="N159" s="976"/>
      <c r="O159" s="1119">
        <f t="shared" si="23"/>
        <v>-806.68567480189563</v>
      </c>
      <c r="P159" s="1119">
        <f t="shared" si="32"/>
        <v>834.70472044811856</v>
      </c>
      <c r="Q159" s="1119">
        <f t="shared" si="32"/>
        <v>0</v>
      </c>
      <c r="R159" s="1119">
        <f t="shared" si="32"/>
        <v>31.44541525601797</v>
      </c>
      <c r="S159" s="1119">
        <f t="shared" si="32"/>
        <v>728.26984823413966</v>
      </c>
      <c r="T159" s="1119">
        <f t="shared" si="32"/>
        <v>-95.309108646485171</v>
      </c>
      <c r="U159" s="1119">
        <f t="shared" si="32"/>
        <v>-3.5856362779786122</v>
      </c>
      <c r="V159" s="1119">
        <f t="shared" si="32"/>
        <v>-296.46925773814843</v>
      </c>
      <c r="W159" s="1119">
        <f t="shared" si="32"/>
        <v>23.392442910364515</v>
      </c>
      <c r="X159" s="978"/>
      <c r="Y159" s="1120">
        <f t="shared" si="28"/>
        <v>17809.529831627045</v>
      </c>
      <c r="Z159" s="1354"/>
      <c r="AA159" s="1001">
        <v>0.32988701024204081</v>
      </c>
      <c r="AB159" s="978"/>
      <c r="AC159" s="1036">
        <f t="shared" si="29"/>
        <v>0.32988701024204081</v>
      </c>
      <c r="AD159" s="783">
        <f t="shared" si="30"/>
        <v>0.33</v>
      </c>
      <c r="AE159" s="1321"/>
      <c r="AF159" s="1322"/>
      <c r="AG159" s="740"/>
    </row>
    <row r="160" spans="1:33">
      <c r="A160" s="96">
        <v>300420</v>
      </c>
      <c r="B160" s="1286" t="s">
        <v>114</v>
      </c>
      <c r="C160" s="782">
        <f>'TAR_Tab 2_Volumina'!N163</f>
        <v>1</v>
      </c>
      <c r="D160" s="976"/>
      <c r="E160" s="1318">
        <v>17861.01390568259</v>
      </c>
      <c r="F160" s="1116">
        <f t="shared" si="24"/>
        <v>16996.540832647552</v>
      </c>
      <c r="G160" s="1116">
        <f t="shared" si="25"/>
        <v>17393.767082242914</v>
      </c>
      <c r="H160" s="976"/>
      <c r="I160" s="1117">
        <f t="shared" si="31"/>
        <v>16524.078728130768</v>
      </c>
      <c r="J160" s="1117">
        <f t="shared" si="31"/>
        <v>18263.45543635506</v>
      </c>
      <c r="K160" s="1320"/>
      <c r="L160" s="1000" t="str">
        <f t="shared" si="26"/>
        <v/>
      </c>
      <c r="M160" s="1118">
        <f t="shared" si="27"/>
        <v>17393.767082242914</v>
      </c>
      <c r="N160" s="976"/>
      <c r="O160" s="1119">
        <f t="shared" si="23"/>
        <v>-806.68567480189563</v>
      </c>
      <c r="P160" s="1119">
        <f t="shared" si="32"/>
        <v>834.70472044811856</v>
      </c>
      <c r="Q160" s="1119">
        <f t="shared" si="32"/>
        <v>0</v>
      </c>
      <c r="R160" s="1119">
        <f t="shared" si="32"/>
        <v>31.44541525601797</v>
      </c>
      <c r="S160" s="1119">
        <f t="shared" si="32"/>
        <v>728.26984823413966</v>
      </c>
      <c r="T160" s="1119">
        <f t="shared" si="32"/>
        <v>-95.309108646485171</v>
      </c>
      <c r="U160" s="1119">
        <f t="shared" si="32"/>
        <v>-3.5856362779786122</v>
      </c>
      <c r="V160" s="1119">
        <f t="shared" si="32"/>
        <v>-296.46925773814843</v>
      </c>
      <c r="W160" s="1119">
        <f t="shared" si="32"/>
        <v>23.392442910364515</v>
      </c>
      <c r="X160" s="978"/>
      <c r="Y160" s="1120">
        <f t="shared" si="28"/>
        <v>17809.529831627045</v>
      </c>
      <c r="Z160" s="1354"/>
      <c r="AA160" s="1001">
        <v>6.7603260545057831E-2</v>
      </c>
      <c r="AB160" s="978"/>
      <c r="AC160" s="1036">
        <f t="shared" si="29"/>
        <v>6.7603260545057831E-2</v>
      </c>
      <c r="AD160" s="783">
        <f t="shared" si="30"/>
        <v>6.8000000000000005E-2</v>
      </c>
      <c r="AE160" s="1321"/>
      <c r="AF160" s="1322"/>
      <c r="AG160" s="740"/>
    </row>
    <row r="161" spans="1:33">
      <c r="A161" s="96">
        <v>300423</v>
      </c>
      <c r="B161" s="1286" t="s">
        <v>785</v>
      </c>
      <c r="C161" s="782">
        <f>'TAR_Tab 2_Volumina'!N164</f>
        <v>0</v>
      </c>
      <c r="D161" s="976"/>
      <c r="E161" s="1318">
        <v>0</v>
      </c>
      <c r="F161" s="1116">
        <f t="shared" si="24"/>
        <v>0</v>
      </c>
      <c r="G161" s="1116">
        <f t="shared" si="25"/>
        <v>0</v>
      </c>
      <c r="H161" s="976"/>
      <c r="I161" s="1117">
        <f t="shared" si="31"/>
        <v>0</v>
      </c>
      <c r="J161" s="1117">
        <f t="shared" si="31"/>
        <v>0</v>
      </c>
      <c r="K161" s="1320"/>
      <c r="L161" s="1000" t="str">
        <f t="shared" si="26"/>
        <v/>
      </c>
      <c r="M161" s="1118">
        <f t="shared" si="27"/>
        <v>0</v>
      </c>
      <c r="N161" s="976"/>
      <c r="O161" s="1119">
        <f t="shared" si="23"/>
        <v>0</v>
      </c>
      <c r="P161" s="1119">
        <f t="shared" si="32"/>
        <v>0</v>
      </c>
      <c r="Q161" s="1119">
        <f t="shared" si="32"/>
        <v>0</v>
      </c>
      <c r="R161" s="1119">
        <f t="shared" si="32"/>
        <v>0</v>
      </c>
      <c r="S161" s="1119">
        <f t="shared" si="32"/>
        <v>0</v>
      </c>
      <c r="T161" s="1119">
        <f t="shared" si="32"/>
        <v>0</v>
      </c>
      <c r="U161" s="1119">
        <f t="shared" si="32"/>
        <v>0</v>
      </c>
      <c r="V161" s="1119">
        <f t="shared" si="32"/>
        <v>0</v>
      </c>
      <c r="W161" s="1119">
        <f t="shared" si="32"/>
        <v>0</v>
      </c>
      <c r="X161" s="978"/>
      <c r="Y161" s="1120">
        <f t="shared" si="28"/>
        <v>0</v>
      </c>
      <c r="Z161" s="1354"/>
      <c r="AA161" s="1001">
        <v>0</v>
      </c>
      <c r="AB161" s="978"/>
      <c r="AC161" s="1036">
        <f t="shared" si="29"/>
        <v>0</v>
      </c>
      <c r="AD161" s="783">
        <f t="shared" si="30"/>
        <v>0</v>
      </c>
      <c r="AE161" s="1321"/>
      <c r="AF161" s="1322"/>
      <c r="AG161" s="740"/>
    </row>
    <row r="162" spans="1:33">
      <c r="A162" s="96">
        <v>300428</v>
      </c>
      <c r="B162" s="1286" t="s">
        <v>375</v>
      </c>
      <c r="C162" s="782">
        <f>'TAR_Tab 2_Volumina'!N165</f>
        <v>0</v>
      </c>
      <c r="D162" s="976"/>
      <c r="E162" s="1318">
        <v>0</v>
      </c>
      <c r="F162" s="1116">
        <f t="shared" si="24"/>
        <v>0</v>
      </c>
      <c r="G162" s="1116">
        <f t="shared" si="25"/>
        <v>0</v>
      </c>
      <c r="H162" s="976"/>
      <c r="I162" s="1117">
        <f t="shared" si="31"/>
        <v>0</v>
      </c>
      <c r="J162" s="1117">
        <f t="shared" si="31"/>
        <v>0</v>
      </c>
      <c r="K162" s="1320"/>
      <c r="L162" s="1000" t="str">
        <f t="shared" si="26"/>
        <v/>
      </c>
      <c r="M162" s="1118">
        <f t="shared" si="27"/>
        <v>0</v>
      </c>
      <c r="N162" s="976"/>
      <c r="O162" s="1119">
        <f t="shared" si="23"/>
        <v>0</v>
      </c>
      <c r="P162" s="1119">
        <f t="shared" si="32"/>
        <v>0</v>
      </c>
      <c r="Q162" s="1119">
        <f t="shared" si="32"/>
        <v>0</v>
      </c>
      <c r="R162" s="1119">
        <f t="shared" si="32"/>
        <v>0</v>
      </c>
      <c r="S162" s="1119">
        <f t="shared" si="32"/>
        <v>0</v>
      </c>
      <c r="T162" s="1119">
        <f t="shared" si="32"/>
        <v>0</v>
      </c>
      <c r="U162" s="1119">
        <f t="shared" si="32"/>
        <v>0</v>
      </c>
      <c r="V162" s="1119">
        <f t="shared" si="32"/>
        <v>0</v>
      </c>
      <c r="W162" s="1119">
        <f t="shared" si="32"/>
        <v>0</v>
      </c>
      <c r="X162" s="978"/>
      <c r="Y162" s="1120">
        <f t="shared" si="28"/>
        <v>0</v>
      </c>
      <c r="Z162" s="1354"/>
      <c r="AA162" s="1001">
        <v>0</v>
      </c>
      <c r="AB162" s="978"/>
      <c r="AC162" s="1036">
        <f t="shared" si="29"/>
        <v>0</v>
      </c>
      <c r="AD162" s="783">
        <f t="shared" si="30"/>
        <v>0</v>
      </c>
      <c r="AE162" s="1321"/>
      <c r="AF162" s="1322"/>
      <c r="AG162" s="740"/>
    </row>
    <row r="163" spans="1:33">
      <c r="A163" s="96">
        <v>300436</v>
      </c>
      <c r="B163" s="1286" t="s">
        <v>115</v>
      </c>
      <c r="C163" s="782">
        <f>'TAR_Tab 2_Volumina'!N166</f>
        <v>0</v>
      </c>
      <c r="D163" s="976"/>
      <c r="E163" s="1318">
        <v>0</v>
      </c>
      <c r="F163" s="1116">
        <f t="shared" si="24"/>
        <v>0</v>
      </c>
      <c r="G163" s="1116">
        <f t="shared" si="25"/>
        <v>0</v>
      </c>
      <c r="H163" s="976"/>
      <c r="I163" s="1117">
        <f t="shared" si="31"/>
        <v>0</v>
      </c>
      <c r="J163" s="1117">
        <f t="shared" si="31"/>
        <v>0</v>
      </c>
      <c r="K163" s="1320"/>
      <c r="L163" s="1000" t="str">
        <f t="shared" si="26"/>
        <v/>
      </c>
      <c r="M163" s="1118">
        <f t="shared" si="27"/>
        <v>0</v>
      </c>
      <c r="N163" s="976"/>
      <c r="O163" s="1119">
        <f t="shared" si="23"/>
        <v>0</v>
      </c>
      <c r="P163" s="1119">
        <f t="shared" si="32"/>
        <v>0</v>
      </c>
      <c r="Q163" s="1119">
        <f t="shared" si="32"/>
        <v>0</v>
      </c>
      <c r="R163" s="1119">
        <f t="shared" si="32"/>
        <v>0</v>
      </c>
      <c r="S163" s="1119">
        <f t="shared" si="32"/>
        <v>0</v>
      </c>
      <c r="T163" s="1119">
        <f t="shared" si="32"/>
        <v>0</v>
      </c>
      <c r="U163" s="1119">
        <f t="shared" si="32"/>
        <v>0</v>
      </c>
      <c r="V163" s="1119">
        <f t="shared" si="32"/>
        <v>0</v>
      </c>
      <c r="W163" s="1119">
        <f t="shared" si="32"/>
        <v>0</v>
      </c>
      <c r="X163" s="978"/>
      <c r="Y163" s="1120">
        <f t="shared" si="28"/>
        <v>0</v>
      </c>
      <c r="Z163" s="1354"/>
      <c r="AA163" s="1001">
        <v>0</v>
      </c>
      <c r="AB163" s="978"/>
      <c r="AC163" s="1036">
        <f t="shared" si="29"/>
        <v>0</v>
      </c>
      <c r="AD163" s="783">
        <f t="shared" si="30"/>
        <v>0</v>
      </c>
      <c r="AE163" s="1321"/>
      <c r="AF163" s="1322"/>
      <c r="AG163" s="740"/>
    </row>
    <row r="164" spans="1:33">
      <c r="A164" s="96">
        <v>300437</v>
      </c>
      <c r="B164" s="1286" t="s">
        <v>116</v>
      </c>
      <c r="C164" s="782">
        <f>'TAR_Tab 2_Volumina'!N167</f>
        <v>0</v>
      </c>
      <c r="D164" s="976"/>
      <c r="E164" s="1318">
        <v>0</v>
      </c>
      <c r="F164" s="1116">
        <f t="shared" si="24"/>
        <v>0</v>
      </c>
      <c r="G164" s="1116">
        <f t="shared" si="25"/>
        <v>0</v>
      </c>
      <c r="H164" s="976"/>
      <c r="I164" s="1117">
        <f t="shared" si="31"/>
        <v>0</v>
      </c>
      <c r="J164" s="1117">
        <f t="shared" si="31"/>
        <v>0</v>
      </c>
      <c r="K164" s="1320"/>
      <c r="L164" s="1000" t="str">
        <f t="shared" si="26"/>
        <v/>
      </c>
      <c r="M164" s="1118">
        <f t="shared" si="27"/>
        <v>0</v>
      </c>
      <c r="N164" s="976"/>
      <c r="O164" s="1119">
        <f t="shared" si="23"/>
        <v>0</v>
      </c>
      <c r="P164" s="1119">
        <f t="shared" si="32"/>
        <v>0</v>
      </c>
      <c r="Q164" s="1119">
        <f t="shared" si="32"/>
        <v>0</v>
      </c>
      <c r="R164" s="1119">
        <f t="shared" si="32"/>
        <v>0</v>
      </c>
      <c r="S164" s="1119">
        <f t="shared" si="32"/>
        <v>0</v>
      </c>
      <c r="T164" s="1119">
        <f t="shared" si="32"/>
        <v>0</v>
      </c>
      <c r="U164" s="1119">
        <f t="shared" si="32"/>
        <v>0</v>
      </c>
      <c r="V164" s="1119">
        <f t="shared" si="32"/>
        <v>0</v>
      </c>
      <c r="W164" s="1119">
        <f t="shared" si="32"/>
        <v>0</v>
      </c>
      <c r="X164" s="978"/>
      <c r="Y164" s="1120">
        <f t="shared" si="28"/>
        <v>0</v>
      </c>
      <c r="Z164" s="1354"/>
      <c r="AA164" s="1001">
        <v>0</v>
      </c>
      <c r="AB164" s="978"/>
      <c r="AC164" s="1036">
        <f t="shared" si="29"/>
        <v>0</v>
      </c>
      <c r="AD164" s="783">
        <f t="shared" si="30"/>
        <v>0</v>
      </c>
      <c r="AE164" s="1321"/>
      <c r="AF164" s="1322"/>
      <c r="AG164" s="740"/>
    </row>
    <row r="165" spans="1:33">
      <c r="A165" s="96">
        <v>300438</v>
      </c>
      <c r="B165" s="1286" t="s">
        <v>117</v>
      </c>
      <c r="C165" s="782">
        <f>'TAR_Tab 2_Volumina'!N168</f>
        <v>1</v>
      </c>
      <c r="D165" s="976"/>
      <c r="E165" s="1318">
        <v>17861.01390568259</v>
      </c>
      <c r="F165" s="1116">
        <f t="shared" si="24"/>
        <v>16996.540832647552</v>
      </c>
      <c r="G165" s="1116">
        <f t="shared" si="25"/>
        <v>17393.767082242914</v>
      </c>
      <c r="H165" s="976"/>
      <c r="I165" s="1117">
        <f t="shared" si="31"/>
        <v>16524.078728130768</v>
      </c>
      <c r="J165" s="1117">
        <f t="shared" si="31"/>
        <v>18263.45543635506</v>
      </c>
      <c r="K165" s="1320"/>
      <c r="L165" s="1000" t="str">
        <f t="shared" si="26"/>
        <v/>
      </c>
      <c r="M165" s="1118">
        <f t="shared" si="27"/>
        <v>17393.767082242914</v>
      </c>
      <c r="N165" s="976"/>
      <c r="O165" s="1119">
        <f t="shared" si="23"/>
        <v>-806.68567480189563</v>
      </c>
      <c r="P165" s="1119">
        <f t="shared" si="32"/>
        <v>834.70472044811856</v>
      </c>
      <c r="Q165" s="1119">
        <f t="shared" si="32"/>
        <v>0</v>
      </c>
      <c r="R165" s="1119">
        <f t="shared" si="32"/>
        <v>31.44541525601797</v>
      </c>
      <c r="S165" s="1119">
        <f t="shared" si="32"/>
        <v>728.26984823413966</v>
      </c>
      <c r="T165" s="1119">
        <f t="shared" si="32"/>
        <v>-95.309108646485171</v>
      </c>
      <c r="U165" s="1119">
        <f t="shared" si="32"/>
        <v>-3.5856362779786122</v>
      </c>
      <c r="V165" s="1119">
        <f t="shared" si="32"/>
        <v>-296.46925773814843</v>
      </c>
      <c r="W165" s="1119">
        <f t="shared" si="32"/>
        <v>23.392442910364515</v>
      </c>
      <c r="X165" s="978"/>
      <c r="Y165" s="1120">
        <f t="shared" si="28"/>
        <v>17809.529831627045</v>
      </c>
      <c r="Z165" s="1354"/>
      <c r="AA165" s="1001">
        <v>0.40012464014051263</v>
      </c>
      <c r="AB165" s="978"/>
      <c r="AC165" s="1036">
        <f t="shared" si="29"/>
        <v>0.40012464014051263</v>
      </c>
      <c r="AD165" s="783">
        <f t="shared" si="30"/>
        <v>0.4</v>
      </c>
      <c r="AE165" s="1321"/>
      <c r="AF165" s="1322"/>
      <c r="AG165" s="740"/>
    </row>
    <row r="166" spans="1:33">
      <c r="A166" s="96">
        <v>300443</v>
      </c>
      <c r="B166" s="1286" t="s">
        <v>278</v>
      </c>
      <c r="C166" s="782">
        <f>'TAR_Tab 2_Volumina'!N169</f>
        <v>0</v>
      </c>
      <c r="D166" s="976"/>
      <c r="E166" s="1318">
        <v>0</v>
      </c>
      <c r="F166" s="1116">
        <f t="shared" si="24"/>
        <v>0</v>
      </c>
      <c r="G166" s="1116">
        <f t="shared" si="25"/>
        <v>0</v>
      </c>
      <c r="H166" s="976"/>
      <c r="I166" s="1117">
        <f t="shared" si="31"/>
        <v>0</v>
      </c>
      <c r="J166" s="1117">
        <f t="shared" si="31"/>
        <v>0</v>
      </c>
      <c r="K166" s="1320"/>
      <c r="L166" s="1000" t="str">
        <f t="shared" si="26"/>
        <v/>
      </c>
      <c r="M166" s="1118">
        <f t="shared" si="27"/>
        <v>0</v>
      </c>
      <c r="N166" s="976"/>
      <c r="O166" s="1119">
        <f t="shared" si="23"/>
        <v>0</v>
      </c>
      <c r="P166" s="1119">
        <f t="shared" si="32"/>
        <v>0</v>
      </c>
      <c r="Q166" s="1119">
        <f t="shared" si="32"/>
        <v>0</v>
      </c>
      <c r="R166" s="1119">
        <f t="shared" si="32"/>
        <v>0</v>
      </c>
      <c r="S166" s="1119">
        <f t="shared" si="32"/>
        <v>0</v>
      </c>
      <c r="T166" s="1119">
        <f t="shared" si="32"/>
        <v>0</v>
      </c>
      <c r="U166" s="1119">
        <f t="shared" si="32"/>
        <v>0</v>
      </c>
      <c r="V166" s="1119">
        <f t="shared" si="32"/>
        <v>0</v>
      </c>
      <c r="W166" s="1119">
        <f t="shared" si="32"/>
        <v>0</v>
      </c>
      <c r="X166" s="978"/>
      <c r="Y166" s="1120">
        <f t="shared" si="28"/>
        <v>0</v>
      </c>
      <c r="Z166" s="1354"/>
      <c r="AA166" s="1001">
        <v>0</v>
      </c>
      <c r="AB166" s="978"/>
      <c r="AC166" s="1036">
        <f t="shared" si="29"/>
        <v>0</v>
      </c>
      <c r="AD166" s="783">
        <f t="shared" si="30"/>
        <v>0</v>
      </c>
      <c r="AE166" s="1321"/>
      <c r="AF166" s="1322"/>
      <c r="AG166" s="740"/>
    </row>
    <row r="167" spans="1:33">
      <c r="A167" s="96">
        <v>300444</v>
      </c>
      <c r="B167" s="1286" t="s">
        <v>118</v>
      </c>
      <c r="C167" s="782">
        <f>'TAR_Tab 2_Volumina'!N170</f>
        <v>1</v>
      </c>
      <c r="D167" s="976"/>
      <c r="E167" s="1318">
        <v>17861.01390568259</v>
      </c>
      <c r="F167" s="1116">
        <f t="shared" si="24"/>
        <v>16996.540832647552</v>
      </c>
      <c r="G167" s="1116">
        <f t="shared" si="25"/>
        <v>17393.767082242914</v>
      </c>
      <c r="H167" s="976"/>
      <c r="I167" s="1117">
        <f t="shared" si="31"/>
        <v>16524.078728130768</v>
      </c>
      <c r="J167" s="1117">
        <f t="shared" si="31"/>
        <v>18263.45543635506</v>
      </c>
      <c r="K167" s="1320"/>
      <c r="L167" s="1000" t="str">
        <f t="shared" si="26"/>
        <v/>
      </c>
      <c r="M167" s="1118">
        <f t="shared" si="27"/>
        <v>17393.767082242914</v>
      </c>
      <c r="N167" s="976"/>
      <c r="O167" s="1119">
        <f t="shared" si="23"/>
        <v>-806.68567480189563</v>
      </c>
      <c r="P167" s="1119">
        <f t="shared" si="32"/>
        <v>834.70472044811856</v>
      </c>
      <c r="Q167" s="1119">
        <f t="shared" si="32"/>
        <v>0</v>
      </c>
      <c r="R167" s="1119">
        <f t="shared" si="32"/>
        <v>31.44541525601797</v>
      </c>
      <c r="S167" s="1119">
        <f t="shared" si="32"/>
        <v>728.26984823413966</v>
      </c>
      <c r="T167" s="1119">
        <f t="shared" si="32"/>
        <v>-95.309108646485171</v>
      </c>
      <c r="U167" s="1119">
        <f t="shared" si="32"/>
        <v>-3.5856362779786122</v>
      </c>
      <c r="V167" s="1119">
        <f t="shared" si="32"/>
        <v>-296.46925773814843</v>
      </c>
      <c r="W167" s="1119">
        <f t="shared" si="32"/>
        <v>23.392442910364515</v>
      </c>
      <c r="X167" s="978"/>
      <c r="Y167" s="1120">
        <f t="shared" si="28"/>
        <v>17809.529831627045</v>
      </c>
      <c r="Z167" s="1354"/>
      <c r="AA167" s="1001">
        <v>0.10637445596303985</v>
      </c>
      <c r="AB167" s="978"/>
      <c r="AC167" s="1036">
        <f t="shared" si="29"/>
        <v>0.10637445596303985</v>
      </c>
      <c r="AD167" s="783">
        <f t="shared" si="30"/>
        <v>0.106</v>
      </c>
      <c r="AE167" s="1321"/>
      <c r="AF167" s="1322"/>
      <c r="AG167" s="740"/>
    </row>
    <row r="168" spans="1:33">
      <c r="A168" s="96">
        <v>300447</v>
      </c>
      <c r="B168" s="1286" t="s">
        <v>376</v>
      </c>
      <c r="C168" s="782">
        <f>'TAR_Tab 2_Volumina'!N171</f>
        <v>0</v>
      </c>
      <c r="D168" s="976"/>
      <c r="E168" s="1318">
        <v>0</v>
      </c>
      <c r="F168" s="1116">
        <f t="shared" si="24"/>
        <v>0</v>
      </c>
      <c r="G168" s="1116">
        <f t="shared" si="25"/>
        <v>0</v>
      </c>
      <c r="H168" s="976"/>
      <c r="I168" s="1117">
        <f t="shared" si="31"/>
        <v>0</v>
      </c>
      <c r="J168" s="1117">
        <f t="shared" si="31"/>
        <v>0</v>
      </c>
      <c r="K168" s="1320"/>
      <c r="L168" s="1000" t="str">
        <f t="shared" si="26"/>
        <v/>
      </c>
      <c r="M168" s="1118">
        <f t="shared" si="27"/>
        <v>0</v>
      </c>
      <c r="N168" s="976"/>
      <c r="O168" s="1119">
        <f t="shared" si="23"/>
        <v>0</v>
      </c>
      <c r="P168" s="1119">
        <f t="shared" si="32"/>
        <v>0</v>
      </c>
      <c r="Q168" s="1119">
        <f t="shared" si="32"/>
        <v>0</v>
      </c>
      <c r="R168" s="1119">
        <f t="shared" si="32"/>
        <v>0</v>
      </c>
      <c r="S168" s="1119">
        <f t="shared" si="32"/>
        <v>0</v>
      </c>
      <c r="T168" s="1119">
        <f t="shared" si="32"/>
        <v>0</v>
      </c>
      <c r="U168" s="1119">
        <f t="shared" si="32"/>
        <v>0</v>
      </c>
      <c r="V168" s="1119">
        <f t="shared" si="32"/>
        <v>0</v>
      </c>
      <c r="W168" s="1119">
        <f t="shared" si="32"/>
        <v>0</v>
      </c>
      <c r="X168" s="978"/>
      <c r="Y168" s="1120">
        <f t="shared" si="28"/>
        <v>0</v>
      </c>
      <c r="Z168" s="1354"/>
      <c r="AA168" s="1001">
        <v>0</v>
      </c>
      <c r="AB168" s="978"/>
      <c r="AC168" s="1036">
        <f t="shared" si="29"/>
        <v>0</v>
      </c>
      <c r="AD168" s="783">
        <f t="shared" si="30"/>
        <v>0</v>
      </c>
      <c r="AE168" s="1321"/>
      <c r="AF168" s="1322"/>
      <c r="AG168" s="740"/>
    </row>
    <row r="169" spans="1:33">
      <c r="A169" s="96">
        <v>300450</v>
      </c>
      <c r="B169" s="1286" t="s">
        <v>377</v>
      </c>
      <c r="C169" s="782">
        <f>'TAR_Tab 2_Volumina'!N172</f>
        <v>0</v>
      </c>
      <c r="D169" s="976"/>
      <c r="E169" s="1318">
        <v>0</v>
      </c>
      <c r="F169" s="1116">
        <f t="shared" si="24"/>
        <v>0</v>
      </c>
      <c r="G169" s="1116">
        <f t="shared" si="25"/>
        <v>0</v>
      </c>
      <c r="H169" s="976"/>
      <c r="I169" s="1117">
        <f t="shared" si="31"/>
        <v>0</v>
      </c>
      <c r="J169" s="1117">
        <f t="shared" si="31"/>
        <v>0</v>
      </c>
      <c r="K169" s="1320"/>
      <c r="L169" s="1000" t="str">
        <f t="shared" si="26"/>
        <v/>
      </c>
      <c r="M169" s="1118">
        <f t="shared" si="27"/>
        <v>0</v>
      </c>
      <c r="N169" s="976"/>
      <c r="O169" s="1119">
        <f t="shared" si="23"/>
        <v>0</v>
      </c>
      <c r="P169" s="1119">
        <f t="shared" si="32"/>
        <v>0</v>
      </c>
      <c r="Q169" s="1119">
        <f t="shared" si="32"/>
        <v>0</v>
      </c>
      <c r="R169" s="1119">
        <f t="shared" si="32"/>
        <v>0</v>
      </c>
      <c r="S169" s="1119">
        <f t="shared" si="32"/>
        <v>0</v>
      </c>
      <c r="T169" s="1119">
        <f t="shared" si="32"/>
        <v>0</v>
      </c>
      <c r="U169" s="1119">
        <f t="shared" si="32"/>
        <v>0</v>
      </c>
      <c r="V169" s="1119">
        <f t="shared" si="32"/>
        <v>0</v>
      </c>
      <c r="W169" s="1119">
        <f t="shared" si="32"/>
        <v>0</v>
      </c>
      <c r="X169" s="978"/>
      <c r="Y169" s="1120">
        <f t="shared" si="28"/>
        <v>0</v>
      </c>
      <c r="Z169" s="1354"/>
      <c r="AA169" s="1001">
        <v>0</v>
      </c>
      <c r="AB169" s="978"/>
      <c r="AC169" s="1036">
        <f t="shared" si="29"/>
        <v>0</v>
      </c>
      <c r="AD169" s="783">
        <f t="shared" si="30"/>
        <v>0</v>
      </c>
      <c r="AE169" s="1321"/>
      <c r="AF169" s="1322"/>
      <c r="AG169" s="740"/>
    </row>
    <row r="170" spans="1:33">
      <c r="A170" s="96">
        <v>300451</v>
      </c>
      <c r="B170" s="1286" t="s">
        <v>786</v>
      </c>
      <c r="C170" s="782">
        <f>'TAR_Tab 2_Volumina'!N173</f>
        <v>0</v>
      </c>
      <c r="D170" s="976"/>
      <c r="E170" s="1318">
        <v>0</v>
      </c>
      <c r="F170" s="1116">
        <f t="shared" si="24"/>
        <v>0</v>
      </c>
      <c r="G170" s="1116">
        <f t="shared" si="25"/>
        <v>0</v>
      </c>
      <c r="H170" s="976"/>
      <c r="I170" s="1117">
        <f t="shared" si="31"/>
        <v>0</v>
      </c>
      <c r="J170" s="1117">
        <f t="shared" si="31"/>
        <v>0</v>
      </c>
      <c r="K170" s="1320"/>
      <c r="L170" s="1000" t="str">
        <f t="shared" si="26"/>
        <v/>
      </c>
      <c r="M170" s="1118">
        <f t="shared" si="27"/>
        <v>0</v>
      </c>
      <c r="N170" s="976"/>
      <c r="O170" s="1119">
        <f t="shared" si="23"/>
        <v>0</v>
      </c>
      <c r="P170" s="1119">
        <f t="shared" si="32"/>
        <v>0</v>
      </c>
      <c r="Q170" s="1119">
        <f t="shared" si="32"/>
        <v>0</v>
      </c>
      <c r="R170" s="1119">
        <f t="shared" si="32"/>
        <v>0</v>
      </c>
      <c r="S170" s="1119">
        <f t="shared" si="32"/>
        <v>0</v>
      </c>
      <c r="T170" s="1119">
        <f t="shared" si="32"/>
        <v>0</v>
      </c>
      <c r="U170" s="1119">
        <f t="shared" si="32"/>
        <v>0</v>
      </c>
      <c r="V170" s="1119">
        <f t="shared" si="32"/>
        <v>0</v>
      </c>
      <c r="W170" s="1119">
        <f t="shared" si="32"/>
        <v>0</v>
      </c>
      <c r="X170" s="978"/>
      <c r="Y170" s="1120">
        <f t="shared" si="28"/>
        <v>0</v>
      </c>
      <c r="Z170" s="1354"/>
      <c r="AA170" s="1001">
        <v>0</v>
      </c>
      <c r="AB170" s="978"/>
      <c r="AC170" s="1036">
        <f t="shared" si="29"/>
        <v>0</v>
      </c>
      <c r="AD170" s="783">
        <f t="shared" si="30"/>
        <v>0</v>
      </c>
      <c r="AE170" s="1321"/>
      <c r="AF170" s="1322"/>
      <c r="AG170" s="740"/>
    </row>
    <row r="171" spans="1:33">
      <c r="A171" s="96">
        <v>300452</v>
      </c>
      <c r="B171" s="1286" t="s">
        <v>378</v>
      </c>
      <c r="C171" s="782">
        <f>'TAR_Tab 2_Volumina'!N174</f>
        <v>0</v>
      </c>
      <c r="D171" s="976"/>
      <c r="E171" s="1318">
        <v>0</v>
      </c>
      <c r="F171" s="1116">
        <f t="shared" si="24"/>
        <v>0</v>
      </c>
      <c r="G171" s="1116">
        <f t="shared" si="25"/>
        <v>0</v>
      </c>
      <c r="H171" s="976"/>
      <c r="I171" s="1117">
        <f t="shared" si="31"/>
        <v>0</v>
      </c>
      <c r="J171" s="1117">
        <f t="shared" si="31"/>
        <v>0</v>
      </c>
      <c r="K171" s="1320"/>
      <c r="L171" s="1000" t="str">
        <f t="shared" si="26"/>
        <v/>
      </c>
      <c r="M171" s="1118">
        <f t="shared" si="27"/>
        <v>0</v>
      </c>
      <c r="N171" s="976"/>
      <c r="O171" s="1119">
        <f t="shared" si="23"/>
        <v>0</v>
      </c>
      <c r="P171" s="1119">
        <f t="shared" si="32"/>
        <v>0</v>
      </c>
      <c r="Q171" s="1119">
        <f t="shared" si="32"/>
        <v>0</v>
      </c>
      <c r="R171" s="1119">
        <f t="shared" si="32"/>
        <v>0</v>
      </c>
      <c r="S171" s="1119">
        <f t="shared" si="32"/>
        <v>0</v>
      </c>
      <c r="T171" s="1119">
        <f t="shared" si="32"/>
        <v>0</v>
      </c>
      <c r="U171" s="1119">
        <f t="shared" si="32"/>
        <v>0</v>
      </c>
      <c r="V171" s="1119">
        <f t="shared" si="32"/>
        <v>0</v>
      </c>
      <c r="W171" s="1119">
        <f t="shared" si="32"/>
        <v>0</v>
      </c>
      <c r="X171" s="978"/>
      <c r="Y171" s="1120">
        <f t="shared" si="28"/>
        <v>0</v>
      </c>
      <c r="Z171" s="1354"/>
      <c r="AA171" s="1001">
        <v>0</v>
      </c>
      <c r="AB171" s="978"/>
      <c r="AC171" s="1036">
        <f t="shared" si="29"/>
        <v>0</v>
      </c>
      <c r="AD171" s="783">
        <f t="shared" si="30"/>
        <v>0</v>
      </c>
      <c r="AE171" s="1321"/>
      <c r="AF171" s="1322"/>
      <c r="AG171" s="740"/>
    </row>
    <row r="172" spans="1:33">
      <c r="A172" s="96">
        <v>300453</v>
      </c>
      <c r="B172" s="1286" t="s">
        <v>119</v>
      </c>
      <c r="C172" s="782">
        <f>'TAR_Tab 2_Volumina'!N175</f>
        <v>0</v>
      </c>
      <c r="D172" s="976"/>
      <c r="E172" s="1318">
        <v>0</v>
      </c>
      <c r="F172" s="1116">
        <f t="shared" si="24"/>
        <v>0</v>
      </c>
      <c r="G172" s="1116">
        <f t="shared" si="25"/>
        <v>0</v>
      </c>
      <c r="H172" s="976"/>
      <c r="I172" s="1117">
        <f t="shared" si="31"/>
        <v>0</v>
      </c>
      <c r="J172" s="1117">
        <f t="shared" si="31"/>
        <v>0</v>
      </c>
      <c r="K172" s="1320"/>
      <c r="L172" s="1000" t="str">
        <f t="shared" si="26"/>
        <v/>
      </c>
      <c r="M172" s="1118">
        <f t="shared" si="27"/>
        <v>0</v>
      </c>
      <c r="N172" s="976"/>
      <c r="O172" s="1119">
        <f t="shared" si="23"/>
        <v>0</v>
      </c>
      <c r="P172" s="1119">
        <f t="shared" si="32"/>
        <v>0</v>
      </c>
      <c r="Q172" s="1119">
        <f t="shared" si="32"/>
        <v>0</v>
      </c>
      <c r="R172" s="1119">
        <f t="shared" si="32"/>
        <v>0</v>
      </c>
      <c r="S172" s="1119">
        <f t="shared" si="32"/>
        <v>0</v>
      </c>
      <c r="T172" s="1119">
        <f t="shared" si="32"/>
        <v>0</v>
      </c>
      <c r="U172" s="1119">
        <f t="shared" si="32"/>
        <v>0</v>
      </c>
      <c r="V172" s="1119">
        <f t="shared" si="32"/>
        <v>0</v>
      </c>
      <c r="W172" s="1119">
        <f t="shared" si="32"/>
        <v>0</v>
      </c>
      <c r="X172" s="978"/>
      <c r="Y172" s="1120">
        <f t="shared" si="28"/>
        <v>0</v>
      </c>
      <c r="Z172" s="1354"/>
      <c r="AA172" s="1001">
        <v>0</v>
      </c>
      <c r="AB172" s="978"/>
      <c r="AC172" s="1036">
        <f t="shared" si="29"/>
        <v>0</v>
      </c>
      <c r="AD172" s="783">
        <f t="shared" si="30"/>
        <v>0</v>
      </c>
      <c r="AE172" s="1321"/>
      <c r="AF172" s="1322"/>
      <c r="AG172" s="740"/>
    </row>
    <row r="173" spans="1:33">
      <c r="A173" s="96">
        <v>300464</v>
      </c>
      <c r="B173" s="1286" t="s">
        <v>787</v>
      </c>
      <c r="C173" s="782">
        <f>'TAR_Tab 2_Volumina'!N176</f>
        <v>0</v>
      </c>
      <c r="D173" s="976"/>
      <c r="E173" s="1318">
        <v>0</v>
      </c>
      <c r="F173" s="1116">
        <f t="shared" si="24"/>
        <v>0</v>
      </c>
      <c r="G173" s="1116">
        <f t="shared" si="25"/>
        <v>0</v>
      </c>
      <c r="H173" s="976"/>
      <c r="I173" s="1117">
        <f t="shared" si="31"/>
        <v>0</v>
      </c>
      <c r="J173" s="1117">
        <f t="shared" si="31"/>
        <v>0</v>
      </c>
      <c r="K173" s="1320"/>
      <c r="L173" s="1000" t="str">
        <f t="shared" si="26"/>
        <v/>
      </c>
      <c r="M173" s="1118">
        <f t="shared" si="27"/>
        <v>0</v>
      </c>
      <c r="N173" s="976"/>
      <c r="O173" s="1119">
        <f t="shared" si="23"/>
        <v>0</v>
      </c>
      <c r="P173" s="1119">
        <f t="shared" si="32"/>
        <v>0</v>
      </c>
      <c r="Q173" s="1119">
        <f t="shared" si="32"/>
        <v>0</v>
      </c>
      <c r="R173" s="1119">
        <f t="shared" si="32"/>
        <v>0</v>
      </c>
      <c r="S173" s="1119">
        <f t="shared" si="32"/>
        <v>0</v>
      </c>
      <c r="T173" s="1119">
        <f t="shared" si="32"/>
        <v>0</v>
      </c>
      <c r="U173" s="1119">
        <f t="shared" si="32"/>
        <v>0</v>
      </c>
      <c r="V173" s="1119">
        <f t="shared" si="32"/>
        <v>0</v>
      </c>
      <c r="W173" s="1119">
        <f t="shared" si="32"/>
        <v>0</v>
      </c>
      <c r="X173" s="978"/>
      <c r="Y173" s="1120">
        <f t="shared" si="28"/>
        <v>0</v>
      </c>
      <c r="Z173" s="1354"/>
      <c r="AA173" s="1001">
        <v>0</v>
      </c>
      <c r="AB173" s="978"/>
      <c r="AC173" s="1036">
        <f t="shared" si="29"/>
        <v>0</v>
      </c>
      <c r="AD173" s="783">
        <f t="shared" si="30"/>
        <v>0</v>
      </c>
      <c r="AE173" s="1321"/>
      <c r="AF173" s="1322"/>
      <c r="AG173" s="740"/>
    </row>
    <row r="174" spans="1:33">
      <c r="A174" s="96">
        <v>300465</v>
      </c>
      <c r="B174" s="1286" t="s">
        <v>120</v>
      </c>
      <c r="C174" s="782">
        <f>'TAR_Tab 2_Volumina'!N177</f>
        <v>0</v>
      </c>
      <c r="D174" s="976"/>
      <c r="E174" s="1318">
        <v>0</v>
      </c>
      <c r="F174" s="1116">
        <f t="shared" si="24"/>
        <v>0</v>
      </c>
      <c r="G174" s="1116">
        <f t="shared" si="25"/>
        <v>0</v>
      </c>
      <c r="H174" s="976"/>
      <c r="I174" s="1117">
        <f t="shared" si="31"/>
        <v>0</v>
      </c>
      <c r="J174" s="1117">
        <f t="shared" si="31"/>
        <v>0</v>
      </c>
      <c r="K174" s="1320"/>
      <c r="L174" s="1000" t="str">
        <f t="shared" si="26"/>
        <v/>
      </c>
      <c r="M174" s="1118">
        <f t="shared" si="27"/>
        <v>0</v>
      </c>
      <c r="N174" s="976"/>
      <c r="O174" s="1119">
        <f t="shared" si="23"/>
        <v>0</v>
      </c>
      <c r="P174" s="1119">
        <f t="shared" si="32"/>
        <v>0</v>
      </c>
      <c r="Q174" s="1119">
        <f t="shared" si="32"/>
        <v>0</v>
      </c>
      <c r="R174" s="1119">
        <f t="shared" si="32"/>
        <v>0</v>
      </c>
      <c r="S174" s="1119">
        <f t="shared" si="32"/>
        <v>0</v>
      </c>
      <c r="T174" s="1119">
        <f t="shared" si="32"/>
        <v>0</v>
      </c>
      <c r="U174" s="1119">
        <f t="shared" si="32"/>
        <v>0</v>
      </c>
      <c r="V174" s="1119">
        <f t="shared" si="32"/>
        <v>0</v>
      </c>
      <c r="W174" s="1119">
        <f t="shared" si="32"/>
        <v>0</v>
      </c>
      <c r="X174" s="978"/>
      <c r="Y174" s="1120">
        <f t="shared" si="28"/>
        <v>0</v>
      </c>
      <c r="Z174" s="1354"/>
      <c r="AA174" s="1001">
        <v>0</v>
      </c>
      <c r="AB174" s="978"/>
      <c r="AC174" s="1036">
        <f t="shared" si="29"/>
        <v>0</v>
      </c>
      <c r="AD174" s="783">
        <f t="shared" si="30"/>
        <v>0</v>
      </c>
      <c r="AE174" s="1321"/>
      <c r="AF174" s="1322"/>
      <c r="AG174" s="740"/>
    </row>
    <row r="175" spans="1:33">
      <c r="A175" s="96">
        <v>300467</v>
      </c>
      <c r="B175" s="1286" t="s">
        <v>121</v>
      </c>
      <c r="C175" s="782">
        <f>'TAR_Tab 2_Volumina'!N178</f>
        <v>1</v>
      </c>
      <c r="D175" s="976"/>
      <c r="E175" s="1318">
        <v>17861.01390568259</v>
      </c>
      <c r="F175" s="1116">
        <f t="shared" si="24"/>
        <v>16996.540832647552</v>
      </c>
      <c r="G175" s="1116">
        <f t="shared" si="25"/>
        <v>17393.767082242914</v>
      </c>
      <c r="H175" s="976"/>
      <c r="I175" s="1117">
        <f t="shared" si="31"/>
        <v>16524.078728130768</v>
      </c>
      <c r="J175" s="1117">
        <f t="shared" si="31"/>
        <v>18263.45543635506</v>
      </c>
      <c r="K175" s="1320"/>
      <c r="L175" s="1000" t="str">
        <f t="shared" si="26"/>
        <v/>
      </c>
      <c r="M175" s="1118">
        <f t="shared" si="27"/>
        <v>17393.767082242914</v>
      </c>
      <c r="N175" s="976"/>
      <c r="O175" s="1119">
        <f t="shared" si="23"/>
        <v>-806.68567480189563</v>
      </c>
      <c r="P175" s="1119">
        <f t="shared" si="32"/>
        <v>834.70472044811856</v>
      </c>
      <c r="Q175" s="1119">
        <f t="shared" si="32"/>
        <v>0</v>
      </c>
      <c r="R175" s="1119">
        <f t="shared" si="32"/>
        <v>31.44541525601797</v>
      </c>
      <c r="S175" s="1119">
        <f t="shared" si="32"/>
        <v>728.26984823413966</v>
      </c>
      <c r="T175" s="1119">
        <f t="shared" si="32"/>
        <v>-95.309108646485171</v>
      </c>
      <c r="U175" s="1119">
        <f t="shared" si="32"/>
        <v>-3.5856362779786122</v>
      </c>
      <c r="V175" s="1119">
        <f t="shared" si="32"/>
        <v>-296.46925773814843</v>
      </c>
      <c r="W175" s="1119">
        <f t="shared" si="32"/>
        <v>23.392442910364515</v>
      </c>
      <c r="X175" s="978"/>
      <c r="Y175" s="1120">
        <f t="shared" si="28"/>
        <v>17809.529831627045</v>
      </c>
      <c r="Z175" s="1354"/>
      <c r="AA175" s="1001">
        <v>5.6241686252162966</v>
      </c>
      <c r="AB175" s="978"/>
      <c r="AC175" s="1036">
        <f t="shared" si="29"/>
        <v>5.6241686252162966</v>
      </c>
      <c r="AD175" s="783">
        <f t="shared" si="30"/>
        <v>5.6239999999999997</v>
      </c>
      <c r="AE175" s="1321"/>
      <c r="AF175" s="1322"/>
      <c r="AG175" s="740"/>
    </row>
    <row r="176" spans="1:33">
      <c r="A176" s="96">
        <v>300469</v>
      </c>
      <c r="B176" s="1286" t="s">
        <v>122</v>
      </c>
      <c r="C176" s="782">
        <f>'TAR_Tab 2_Volumina'!N179</f>
        <v>1</v>
      </c>
      <c r="D176" s="976"/>
      <c r="E176" s="1318">
        <v>17861.01390568259</v>
      </c>
      <c r="F176" s="1116">
        <f t="shared" si="24"/>
        <v>16996.540832647552</v>
      </c>
      <c r="G176" s="1116">
        <f t="shared" si="25"/>
        <v>17393.767082242914</v>
      </c>
      <c r="H176" s="976"/>
      <c r="I176" s="1117">
        <f t="shared" si="31"/>
        <v>16524.078728130768</v>
      </c>
      <c r="J176" s="1117">
        <f t="shared" si="31"/>
        <v>18263.45543635506</v>
      </c>
      <c r="K176" s="1320"/>
      <c r="L176" s="1000" t="str">
        <f t="shared" si="26"/>
        <v/>
      </c>
      <c r="M176" s="1118">
        <f t="shared" si="27"/>
        <v>17393.767082242914</v>
      </c>
      <c r="N176" s="976"/>
      <c r="O176" s="1119">
        <f t="shared" si="23"/>
        <v>-806.68567480189563</v>
      </c>
      <c r="P176" s="1119">
        <f t="shared" si="32"/>
        <v>834.70472044811856</v>
      </c>
      <c r="Q176" s="1119">
        <f t="shared" si="32"/>
        <v>0</v>
      </c>
      <c r="R176" s="1119">
        <f t="shared" si="32"/>
        <v>31.44541525601797</v>
      </c>
      <c r="S176" s="1119">
        <f t="shared" si="32"/>
        <v>728.26984823413966</v>
      </c>
      <c r="T176" s="1119">
        <f t="shared" si="32"/>
        <v>-95.309108646485171</v>
      </c>
      <c r="U176" s="1119">
        <f t="shared" si="32"/>
        <v>-3.5856362779786122</v>
      </c>
      <c r="V176" s="1119">
        <f t="shared" si="32"/>
        <v>-296.46925773814843</v>
      </c>
      <c r="W176" s="1119">
        <f t="shared" si="32"/>
        <v>23.392442910364515</v>
      </c>
      <c r="X176" s="978"/>
      <c r="Y176" s="1120">
        <f t="shared" si="28"/>
        <v>17809.529831627045</v>
      </c>
      <c r="Z176" s="1354"/>
      <c r="AA176" s="1001">
        <v>1.0001641496482823</v>
      </c>
      <c r="AB176" s="978"/>
      <c r="AC176" s="1036">
        <f t="shared" si="29"/>
        <v>1.0001641496482823</v>
      </c>
      <c r="AD176" s="783">
        <f t="shared" si="30"/>
        <v>1</v>
      </c>
      <c r="AE176" s="1321"/>
      <c r="AF176" s="1322"/>
      <c r="AG176" s="740"/>
    </row>
    <row r="177" spans="1:33">
      <c r="A177" s="96">
        <v>300486</v>
      </c>
      <c r="B177" s="1286" t="s">
        <v>123</v>
      </c>
      <c r="C177" s="782">
        <f>'TAR_Tab 2_Volumina'!N180</f>
        <v>0</v>
      </c>
      <c r="D177" s="976"/>
      <c r="E177" s="1318">
        <v>0</v>
      </c>
      <c r="F177" s="1116">
        <f t="shared" si="24"/>
        <v>0</v>
      </c>
      <c r="G177" s="1116">
        <f t="shared" si="25"/>
        <v>0</v>
      </c>
      <c r="H177" s="976"/>
      <c r="I177" s="1117">
        <f t="shared" si="31"/>
        <v>0</v>
      </c>
      <c r="J177" s="1117">
        <f t="shared" si="31"/>
        <v>0</v>
      </c>
      <c r="K177" s="1320"/>
      <c r="L177" s="1000" t="str">
        <f t="shared" si="26"/>
        <v/>
      </c>
      <c r="M177" s="1118">
        <f t="shared" si="27"/>
        <v>0</v>
      </c>
      <c r="N177" s="976"/>
      <c r="O177" s="1119">
        <f t="shared" si="23"/>
        <v>0</v>
      </c>
      <c r="P177" s="1119">
        <f t="shared" si="32"/>
        <v>0</v>
      </c>
      <c r="Q177" s="1119">
        <f t="shared" ref="P177:W208" si="33">$M177*Q$5</f>
        <v>0</v>
      </c>
      <c r="R177" s="1119">
        <f t="shared" si="33"/>
        <v>0</v>
      </c>
      <c r="S177" s="1119">
        <f t="shared" si="33"/>
        <v>0</v>
      </c>
      <c r="T177" s="1119">
        <f t="shared" si="33"/>
        <v>0</v>
      </c>
      <c r="U177" s="1119">
        <f t="shared" si="33"/>
        <v>0</v>
      </c>
      <c r="V177" s="1119">
        <f t="shared" si="33"/>
        <v>0</v>
      </c>
      <c r="W177" s="1119">
        <f t="shared" si="33"/>
        <v>0</v>
      </c>
      <c r="X177" s="978"/>
      <c r="Y177" s="1120">
        <f t="shared" si="28"/>
        <v>0</v>
      </c>
      <c r="Z177" s="1354"/>
      <c r="AA177" s="1001">
        <v>0</v>
      </c>
      <c r="AB177" s="978"/>
      <c r="AC177" s="1036">
        <f t="shared" si="29"/>
        <v>0</v>
      </c>
      <c r="AD177" s="783">
        <f t="shared" si="30"/>
        <v>0</v>
      </c>
      <c r="AE177" s="1321"/>
      <c r="AF177" s="1322"/>
      <c r="AG177" s="740"/>
    </row>
    <row r="178" spans="1:33">
      <c r="A178" s="96">
        <v>300487</v>
      </c>
      <c r="B178" s="1286" t="s">
        <v>124</v>
      </c>
      <c r="C178" s="782">
        <f>'TAR_Tab 2_Volumina'!N181</f>
        <v>0</v>
      </c>
      <c r="D178" s="976"/>
      <c r="E178" s="1318">
        <v>0</v>
      </c>
      <c r="F178" s="1116">
        <f t="shared" si="24"/>
        <v>0</v>
      </c>
      <c r="G178" s="1116">
        <f t="shared" si="25"/>
        <v>0</v>
      </c>
      <c r="H178" s="976"/>
      <c r="I178" s="1117">
        <f t="shared" si="31"/>
        <v>0</v>
      </c>
      <c r="J178" s="1117">
        <f t="shared" si="31"/>
        <v>0</v>
      </c>
      <c r="K178" s="1320"/>
      <c r="L178" s="1000" t="str">
        <f t="shared" si="26"/>
        <v/>
      </c>
      <c r="M178" s="1118">
        <f t="shared" si="27"/>
        <v>0</v>
      </c>
      <c r="N178" s="976"/>
      <c r="O178" s="1119">
        <f t="shared" ref="O178:W233" si="34">$M178*O$5</f>
        <v>0</v>
      </c>
      <c r="P178" s="1119">
        <f t="shared" si="33"/>
        <v>0</v>
      </c>
      <c r="Q178" s="1119">
        <f t="shared" si="33"/>
        <v>0</v>
      </c>
      <c r="R178" s="1119">
        <f t="shared" si="33"/>
        <v>0</v>
      </c>
      <c r="S178" s="1119">
        <f t="shared" si="33"/>
        <v>0</v>
      </c>
      <c r="T178" s="1119">
        <f t="shared" si="33"/>
        <v>0</v>
      </c>
      <c r="U178" s="1119">
        <f t="shared" si="33"/>
        <v>0</v>
      </c>
      <c r="V178" s="1119">
        <f t="shared" si="33"/>
        <v>0</v>
      </c>
      <c r="W178" s="1119">
        <f t="shared" si="33"/>
        <v>0</v>
      </c>
      <c r="X178" s="978"/>
      <c r="Y178" s="1120">
        <f t="shared" si="28"/>
        <v>0</v>
      </c>
      <c r="Z178" s="1354"/>
      <c r="AA178" s="1001">
        <v>0</v>
      </c>
      <c r="AB178" s="978"/>
      <c r="AC178" s="1036">
        <f t="shared" si="29"/>
        <v>0</v>
      </c>
      <c r="AD178" s="783">
        <f t="shared" si="30"/>
        <v>0</v>
      </c>
      <c r="AE178" s="1321"/>
      <c r="AF178" s="1322"/>
      <c r="AG178" s="740"/>
    </row>
    <row r="179" spans="1:33">
      <c r="A179" s="96">
        <v>300489</v>
      </c>
      <c r="B179" s="1286" t="s">
        <v>788</v>
      </c>
      <c r="C179" s="782">
        <f>'TAR_Tab 2_Volumina'!N182</f>
        <v>0</v>
      </c>
      <c r="D179" s="976"/>
      <c r="E179" s="1318">
        <v>0</v>
      </c>
      <c r="F179" s="1116">
        <f t="shared" si="24"/>
        <v>0</v>
      </c>
      <c r="G179" s="1116">
        <f t="shared" si="25"/>
        <v>0</v>
      </c>
      <c r="H179" s="976"/>
      <c r="I179" s="1117">
        <f t="shared" si="31"/>
        <v>0</v>
      </c>
      <c r="J179" s="1117">
        <f t="shared" si="31"/>
        <v>0</v>
      </c>
      <c r="K179" s="1320"/>
      <c r="L179" s="1000" t="str">
        <f t="shared" si="26"/>
        <v/>
      </c>
      <c r="M179" s="1118">
        <f t="shared" si="27"/>
        <v>0</v>
      </c>
      <c r="N179" s="976"/>
      <c r="O179" s="1119">
        <f t="shared" si="34"/>
        <v>0</v>
      </c>
      <c r="P179" s="1119">
        <f t="shared" si="33"/>
        <v>0</v>
      </c>
      <c r="Q179" s="1119">
        <f t="shared" si="33"/>
        <v>0</v>
      </c>
      <c r="R179" s="1119">
        <f t="shared" si="33"/>
        <v>0</v>
      </c>
      <c r="S179" s="1119">
        <f t="shared" si="33"/>
        <v>0</v>
      </c>
      <c r="T179" s="1119">
        <f t="shared" si="33"/>
        <v>0</v>
      </c>
      <c r="U179" s="1119">
        <f t="shared" si="33"/>
        <v>0</v>
      </c>
      <c r="V179" s="1119">
        <f t="shared" si="33"/>
        <v>0</v>
      </c>
      <c r="W179" s="1119">
        <f t="shared" si="33"/>
        <v>0</v>
      </c>
      <c r="X179" s="978"/>
      <c r="Y179" s="1120">
        <f t="shared" si="28"/>
        <v>0</v>
      </c>
      <c r="Z179" s="1354"/>
      <c r="AA179" s="1001">
        <v>0</v>
      </c>
      <c r="AB179" s="978"/>
      <c r="AC179" s="1036">
        <f t="shared" si="29"/>
        <v>0</v>
      </c>
      <c r="AD179" s="783">
        <f t="shared" si="30"/>
        <v>0</v>
      </c>
      <c r="AE179" s="1321"/>
      <c r="AF179" s="1322"/>
      <c r="AG179" s="740"/>
    </row>
    <row r="180" spans="1:33">
      <c r="A180" s="96">
        <v>300491</v>
      </c>
      <c r="B180" s="1286" t="s">
        <v>789</v>
      </c>
      <c r="C180" s="782">
        <f>'TAR_Tab 2_Volumina'!N183</f>
        <v>0</v>
      </c>
      <c r="D180" s="976"/>
      <c r="E180" s="1318">
        <v>0</v>
      </c>
      <c r="F180" s="1116">
        <f t="shared" si="24"/>
        <v>0</v>
      </c>
      <c r="G180" s="1116">
        <f t="shared" si="25"/>
        <v>0</v>
      </c>
      <c r="H180" s="976"/>
      <c r="I180" s="1117">
        <f t="shared" si="31"/>
        <v>0</v>
      </c>
      <c r="J180" s="1117">
        <f t="shared" si="31"/>
        <v>0</v>
      </c>
      <c r="K180" s="1320"/>
      <c r="L180" s="1000" t="str">
        <f t="shared" si="26"/>
        <v/>
      </c>
      <c r="M180" s="1118">
        <f t="shared" si="27"/>
        <v>0</v>
      </c>
      <c r="N180" s="976"/>
      <c r="O180" s="1119">
        <f t="shared" si="34"/>
        <v>0</v>
      </c>
      <c r="P180" s="1119">
        <f t="shared" si="33"/>
        <v>0</v>
      </c>
      <c r="Q180" s="1119">
        <f t="shared" si="33"/>
        <v>0</v>
      </c>
      <c r="R180" s="1119">
        <f t="shared" si="33"/>
        <v>0</v>
      </c>
      <c r="S180" s="1119">
        <f t="shared" si="33"/>
        <v>0</v>
      </c>
      <c r="T180" s="1119">
        <f t="shared" si="33"/>
        <v>0</v>
      </c>
      <c r="U180" s="1119">
        <f t="shared" si="33"/>
        <v>0</v>
      </c>
      <c r="V180" s="1119">
        <f t="shared" si="33"/>
        <v>0</v>
      </c>
      <c r="W180" s="1119">
        <f t="shared" si="33"/>
        <v>0</v>
      </c>
      <c r="X180" s="978"/>
      <c r="Y180" s="1120">
        <f t="shared" si="28"/>
        <v>0</v>
      </c>
      <c r="Z180" s="1354"/>
      <c r="AA180" s="1001">
        <v>0</v>
      </c>
      <c r="AB180" s="978"/>
      <c r="AC180" s="1036">
        <f t="shared" si="29"/>
        <v>0</v>
      </c>
      <c r="AD180" s="783">
        <f t="shared" si="30"/>
        <v>0</v>
      </c>
      <c r="AE180" s="1321"/>
      <c r="AF180" s="1322"/>
      <c r="AG180" s="740"/>
    </row>
    <row r="181" spans="1:33">
      <c r="A181" s="96">
        <v>300492</v>
      </c>
      <c r="B181" s="1286" t="s">
        <v>790</v>
      </c>
      <c r="C181" s="782">
        <f>'TAR_Tab 2_Volumina'!N184</f>
        <v>0</v>
      </c>
      <c r="D181" s="976"/>
      <c r="E181" s="1318">
        <v>0</v>
      </c>
      <c r="F181" s="1116">
        <f t="shared" si="24"/>
        <v>0</v>
      </c>
      <c r="G181" s="1116">
        <f t="shared" si="25"/>
        <v>0</v>
      </c>
      <c r="H181" s="976"/>
      <c r="I181" s="1117">
        <f t="shared" si="31"/>
        <v>0</v>
      </c>
      <c r="J181" s="1117">
        <f t="shared" si="31"/>
        <v>0</v>
      </c>
      <c r="K181" s="1320"/>
      <c r="L181" s="1000" t="str">
        <f t="shared" si="26"/>
        <v/>
      </c>
      <c r="M181" s="1118">
        <f t="shared" si="27"/>
        <v>0</v>
      </c>
      <c r="N181" s="976"/>
      <c r="O181" s="1119">
        <f t="shared" si="34"/>
        <v>0</v>
      </c>
      <c r="P181" s="1119">
        <f t="shared" si="33"/>
        <v>0</v>
      </c>
      <c r="Q181" s="1119">
        <f t="shared" si="33"/>
        <v>0</v>
      </c>
      <c r="R181" s="1119">
        <f t="shared" si="33"/>
        <v>0</v>
      </c>
      <c r="S181" s="1119">
        <f t="shared" si="33"/>
        <v>0</v>
      </c>
      <c r="T181" s="1119">
        <f t="shared" si="33"/>
        <v>0</v>
      </c>
      <c r="U181" s="1119">
        <f t="shared" si="33"/>
        <v>0</v>
      </c>
      <c r="V181" s="1119">
        <f t="shared" si="33"/>
        <v>0</v>
      </c>
      <c r="W181" s="1119">
        <f t="shared" si="33"/>
        <v>0</v>
      </c>
      <c r="X181" s="978"/>
      <c r="Y181" s="1120">
        <f t="shared" si="28"/>
        <v>0</v>
      </c>
      <c r="Z181" s="1354"/>
      <c r="AA181" s="1001">
        <v>0</v>
      </c>
      <c r="AB181" s="978"/>
      <c r="AC181" s="1036">
        <f t="shared" si="29"/>
        <v>0</v>
      </c>
      <c r="AD181" s="783">
        <f t="shared" si="30"/>
        <v>0</v>
      </c>
      <c r="AE181" s="1321"/>
      <c r="AF181" s="1322"/>
      <c r="AG181" s="740"/>
    </row>
    <row r="182" spans="1:33">
      <c r="A182" s="96">
        <v>300495</v>
      </c>
      <c r="B182" s="1286" t="s">
        <v>248</v>
      </c>
      <c r="C182" s="782">
        <f>'TAR_Tab 2_Volumina'!N185</f>
        <v>0</v>
      </c>
      <c r="D182" s="976"/>
      <c r="E182" s="1318">
        <v>0</v>
      </c>
      <c r="F182" s="1116">
        <f t="shared" si="24"/>
        <v>0</v>
      </c>
      <c r="G182" s="1116">
        <f t="shared" si="25"/>
        <v>0</v>
      </c>
      <c r="H182" s="976"/>
      <c r="I182" s="1117">
        <f t="shared" si="31"/>
        <v>0</v>
      </c>
      <c r="J182" s="1117">
        <f t="shared" si="31"/>
        <v>0</v>
      </c>
      <c r="K182" s="1320"/>
      <c r="L182" s="1000" t="str">
        <f t="shared" si="26"/>
        <v/>
      </c>
      <c r="M182" s="1118">
        <f t="shared" si="27"/>
        <v>0</v>
      </c>
      <c r="N182" s="976"/>
      <c r="O182" s="1119">
        <f t="shared" si="34"/>
        <v>0</v>
      </c>
      <c r="P182" s="1119">
        <f t="shared" si="33"/>
        <v>0</v>
      </c>
      <c r="Q182" s="1119">
        <f t="shared" si="33"/>
        <v>0</v>
      </c>
      <c r="R182" s="1119">
        <f t="shared" si="33"/>
        <v>0</v>
      </c>
      <c r="S182" s="1119">
        <f t="shared" si="33"/>
        <v>0</v>
      </c>
      <c r="T182" s="1119">
        <f t="shared" si="33"/>
        <v>0</v>
      </c>
      <c r="U182" s="1119">
        <f t="shared" si="33"/>
        <v>0</v>
      </c>
      <c r="V182" s="1119">
        <f t="shared" si="33"/>
        <v>0</v>
      </c>
      <c r="W182" s="1119">
        <f t="shared" si="33"/>
        <v>0</v>
      </c>
      <c r="X182" s="978"/>
      <c r="Y182" s="1120">
        <f t="shared" si="28"/>
        <v>0</v>
      </c>
      <c r="Z182" s="1354"/>
      <c r="AA182" s="1001">
        <v>0</v>
      </c>
      <c r="AB182" s="978"/>
      <c r="AC182" s="1036">
        <f t="shared" si="29"/>
        <v>0</v>
      </c>
      <c r="AD182" s="783">
        <f t="shared" si="30"/>
        <v>0</v>
      </c>
      <c r="AE182" s="1321"/>
      <c r="AF182" s="1322"/>
      <c r="AG182" s="740"/>
    </row>
    <row r="183" spans="1:33">
      <c r="A183" s="96">
        <v>300500</v>
      </c>
      <c r="B183" s="1286" t="s">
        <v>279</v>
      </c>
      <c r="C183" s="782">
        <f>'TAR_Tab 2_Volumina'!N186</f>
        <v>1</v>
      </c>
      <c r="D183" s="976"/>
      <c r="E183" s="1318">
        <v>35722.02781136518</v>
      </c>
      <c r="F183" s="1116">
        <f t="shared" si="24"/>
        <v>33993.081665295103</v>
      </c>
      <c r="G183" s="1116">
        <f t="shared" si="25"/>
        <v>34787.534164485827</v>
      </c>
      <c r="H183" s="976"/>
      <c r="I183" s="1117">
        <f t="shared" si="31"/>
        <v>33048.157456261535</v>
      </c>
      <c r="J183" s="1117">
        <f t="shared" si="31"/>
        <v>36526.910872710119</v>
      </c>
      <c r="K183" s="1320"/>
      <c r="L183" s="1000" t="str">
        <f t="shared" si="26"/>
        <v/>
      </c>
      <c r="M183" s="1118">
        <f t="shared" si="27"/>
        <v>34787.534164485827</v>
      </c>
      <c r="N183" s="976"/>
      <c r="O183" s="1119">
        <f t="shared" si="34"/>
        <v>-1613.3713496037913</v>
      </c>
      <c r="P183" s="1119">
        <f t="shared" si="33"/>
        <v>1669.4094408962371</v>
      </c>
      <c r="Q183" s="1119">
        <f t="shared" si="33"/>
        <v>0</v>
      </c>
      <c r="R183" s="1119">
        <f t="shared" si="33"/>
        <v>62.89083051203594</v>
      </c>
      <c r="S183" s="1119">
        <f t="shared" si="33"/>
        <v>1456.5396964682793</v>
      </c>
      <c r="T183" s="1119">
        <f t="shared" si="33"/>
        <v>-190.61821729297034</v>
      </c>
      <c r="U183" s="1119">
        <f t="shared" si="33"/>
        <v>-7.1712725559572243</v>
      </c>
      <c r="V183" s="1119">
        <f t="shared" si="33"/>
        <v>-592.93851547629686</v>
      </c>
      <c r="W183" s="1119">
        <f t="shared" si="33"/>
        <v>46.784885820729031</v>
      </c>
      <c r="X183" s="978"/>
      <c r="Y183" s="1120">
        <f t="shared" si="28"/>
        <v>35619.059663254091</v>
      </c>
      <c r="Z183" s="1354"/>
      <c r="AA183" s="1001">
        <v>6.6422317027282213E-2</v>
      </c>
      <c r="AB183" s="978"/>
      <c r="AC183" s="1036">
        <f t="shared" si="29"/>
        <v>6.6422317027282213E-2</v>
      </c>
      <c r="AD183" s="783">
        <f t="shared" si="30"/>
        <v>6.6000000000000003E-2</v>
      </c>
      <c r="AE183" s="1321"/>
      <c r="AF183" s="1322"/>
      <c r="AG183" s="740"/>
    </row>
    <row r="184" spans="1:33">
      <c r="A184" s="96">
        <v>300501</v>
      </c>
      <c r="B184" s="1286" t="s">
        <v>249</v>
      </c>
      <c r="C184" s="782">
        <f>'TAR_Tab 2_Volumina'!N187</f>
        <v>0</v>
      </c>
      <c r="D184" s="976"/>
      <c r="E184" s="1318">
        <v>0</v>
      </c>
      <c r="F184" s="1116">
        <f t="shared" si="24"/>
        <v>0</v>
      </c>
      <c r="G184" s="1116">
        <f t="shared" si="25"/>
        <v>0</v>
      </c>
      <c r="H184" s="976"/>
      <c r="I184" s="1117">
        <f t="shared" si="31"/>
        <v>0</v>
      </c>
      <c r="J184" s="1117">
        <f t="shared" si="31"/>
        <v>0</v>
      </c>
      <c r="K184" s="1320"/>
      <c r="L184" s="1000" t="str">
        <f t="shared" si="26"/>
        <v/>
      </c>
      <c r="M184" s="1118">
        <f t="shared" si="27"/>
        <v>0</v>
      </c>
      <c r="N184" s="976"/>
      <c r="O184" s="1119">
        <f t="shared" si="34"/>
        <v>0</v>
      </c>
      <c r="P184" s="1119">
        <f t="shared" si="33"/>
        <v>0</v>
      </c>
      <c r="Q184" s="1119">
        <f t="shared" si="33"/>
        <v>0</v>
      </c>
      <c r="R184" s="1119">
        <f t="shared" si="33"/>
        <v>0</v>
      </c>
      <c r="S184" s="1119">
        <f t="shared" si="33"/>
        <v>0</v>
      </c>
      <c r="T184" s="1119">
        <f t="shared" si="33"/>
        <v>0</v>
      </c>
      <c r="U184" s="1119">
        <f t="shared" si="33"/>
        <v>0</v>
      </c>
      <c r="V184" s="1119">
        <f t="shared" si="33"/>
        <v>0</v>
      </c>
      <c r="W184" s="1119">
        <f t="shared" si="33"/>
        <v>0</v>
      </c>
      <c r="X184" s="978"/>
      <c r="Y184" s="1120">
        <f t="shared" si="28"/>
        <v>0</v>
      </c>
      <c r="Z184" s="1354"/>
      <c r="AA184" s="1001">
        <v>0</v>
      </c>
      <c r="AB184" s="978"/>
      <c r="AC184" s="1036">
        <f t="shared" si="29"/>
        <v>0</v>
      </c>
      <c r="AD184" s="783">
        <f t="shared" si="30"/>
        <v>0</v>
      </c>
      <c r="AE184" s="1321"/>
      <c r="AF184" s="1322"/>
      <c r="AG184" s="740"/>
    </row>
    <row r="185" spans="1:33">
      <c r="A185" s="96">
        <v>300507</v>
      </c>
      <c r="B185" s="1286" t="s">
        <v>125</v>
      </c>
      <c r="C185" s="782">
        <f>'TAR_Tab 2_Volumina'!N188</f>
        <v>1</v>
      </c>
      <c r="D185" s="976"/>
      <c r="E185" s="1318">
        <v>17861.01390568259</v>
      </c>
      <c r="F185" s="1116">
        <f t="shared" si="24"/>
        <v>16996.540832647552</v>
      </c>
      <c r="G185" s="1116">
        <f t="shared" si="25"/>
        <v>17393.767082242914</v>
      </c>
      <c r="H185" s="976"/>
      <c r="I185" s="1117">
        <f t="shared" si="31"/>
        <v>16524.078728130768</v>
      </c>
      <c r="J185" s="1117">
        <f t="shared" si="31"/>
        <v>18263.45543635506</v>
      </c>
      <c r="K185" s="1320"/>
      <c r="L185" s="1000" t="str">
        <f t="shared" si="26"/>
        <v/>
      </c>
      <c r="M185" s="1118">
        <f t="shared" si="27"/>
        <v>17393.767082242914</v>
      </c>
      <c r="N185" s="976"/>
      <c r="O185" s="1119">
        <f t="shared" si="34"/>
        <v>-806.68567480189563</v>
      </c>
      <c r="P185" s="1119">
        <f t="shared" si="33"/>
        <v>834.70472044811856</v>
      </c>
      <c r="Q185" s="1119">
        <f t="shared" si="33"/>
        <v>0</v>
      </c>
      <c r="R185" s="1119">
        <f t="shared" si="33"/>
        <v>31.44541525601797</v>
      </c>
      <c r="S185" s="1119">
        <f t="shared" si="33"/>
        <v>728.26984823413966</v>
      </c>
      <c r="T185" s="1119">
        <f t="shared" si="33"/>
        <v>-95.309108646485171</v>
      </c>
      <c r="U185" s="1119">
        <f t="shared" si="33"/>
        <v>-3.5856362779786122</v>
      </c>
      <c r="V185" s="1119">
        <f t="shared" si="33"/>
        <v>-296.46925773814843</v>
      </c>
      <c r="W185" s="1119">
        <f t="shared" si="33"/>
        <v>23.392442910364515</v>
      </c>
      <c r="X185" s="978"/>
      <c r="Y185" s="1120">
        <f t="shared" si="28"/>
        <v>17809.529831627045</v>
      </c>
      <c r="Z185" s="1354"/>
      <c r="AA185" s="1001">
        <v>1.0764335335617534</v>
      </c>
      <c r="AB185" s="978"/>
      <c r="AC185" s="1036">
        <f t="shared" si="29"/>
        <v>1.0764335335617534</v>
      </c>
      <c r="AD185" s="783">
        <f t="shared" si="30"/>
        <v>1.0760000000000001</v>
      </c>
      <c r="AE185" s="1321"/>
      <c r="AF185" s="1322"/>
      <c r="AG185" s="740"/>
    </row>
    <row r="186" spans="1:33">
      <c r="A186" s="96">
        <v>300516</v>
      </c>
      <c r="B186" s="1286" t="s">
        <v>791</v>
      </c>
      <c r="C186" s="782">
        <f>'TAR_Tab 2_Volumina'!N189</f>
        <v>0</v>
      </c>
      <c r="D186" s="976"/>
      <c r="E186" s="1318">
        <v>0</v>
      </c>
      <c r="F186" s="1116">
        <f t="shared" si="24"/>
        <v>0</v>
      </c>
      <c r="G186" s="1116">
        <f t="shared" si="25"/>
        <v>0</v>
      </c>
      <c r="H186" s="976"/>
      <c r="I186" s="1117">
        <f t="shared" si="31"/>
        <v>0</v>
      </c>
      <c r="J186" s="1117">
        <f t="shared" si="31"/>
        <v>0</v>
      </c>
      <c r="K186" s="1320"/>
      <c r="L186" s="1000" t="str">
        <f t="shared" si="26"/>
        <v/>
      </c>
      <c r="M186" s="1118">
        <f t="shared" si="27"/>
        <v>0</v>
      </c>
      <c r="N186" s="976"/>
      <c r="O186" s="1119">
        <f t="shared" si="34"/>
        <v>0</v>
      </c>
      <c r="P186" s="1119">
        <f t="shared" si="33"/>
        <v>0</v>
      </c>
      <c r="Q186" s="1119">
        <f t="shared" si="33"/>
        <v>0</v>
      </c>
      <c r="R186" s="1119">
        <f t="shared" si="33"/>
        <v>0</v>
      </c>
      <c r="S186" s="1119">
        <f t="shared" si="33"/>
        <v>0</v>
      </c>
      <c r="T186" s="1119">
        <f t="shared" si="33"/>
        <v>0</v>
      </c>
      <c r="U186" s="1119">
        <f t="shared" si="33"/>
        <v>0</v>
      </c>
      <c r="V186" s="1119">
        <f t="shared" si="33"/>
        <v>0</v>
      </c>
      <c r="W186" s="1119">
        <f t="shared" si="33"/>
        <v>0</v>
      </c>
      <c r="X186" s="978"/>
      <c r="Y186" s="1120">
        <f t="shared" si="28"/>
        <v>0</v>
      </c>
      <c r="Z186" s="1354"/>
      <c r="AA186" s="1001">
        <v>0</v>
      </c>
      <c r="AB186" s="978"/>
      <c r="AC186" s="1036">
        <f t="shared" si="29"/>
        <v>0</v>
      </c>
      <c r="AD186" s="783">
        <f t="shared" si="30"/>
        <v>0</v>
      </c>
      <c r="AE186" s="1321"/>
      <c r="AF186" s="1322"/>
      <c r="AG186" s="740"/>
    </row>
    <row r="187" spans="1:33">
      <c r="A187" s="96">
        <v>300524</v>
      </c>
      <c r="B187" s="1286" t="s">
        <v>126</v>
      </c>
      <c r="C187" s="782">
        <f>'TAR_Tab 2_Volumina'!N190</f>
        <v>0</v>
      </c>
      <c r="D187" s="976"/>
      <c r="E187" s="1318">
        <v>0</v>
      </c>
      <c r="F187" s="1116">
        <f t="shared" si="24"/>
        <v>0</v>
      </c>
      <c r="G187" s="1116">
        <f t="shared" si="25"/>
        <v>0</v>
      </c>
      <c r="H187" s="976"/>
      <c r="I187" s="1117">
        <f t="shared" si="31"/>
        <v>0</v>
      </c>
      <c r="J187" s="1117">
        <f t="shared" si="31"/>
        <v>0</v>
      </c>
      <c r="K187" s="1320"/>
      <c r="L187" s="1000" t="str">
        <f t="shared" si="26"/>
        <v/>
      </c>
      <c r="M187" s="1118">
        <f t="shared" si="27"/>
        <v>0</v>
      </c>
      <c r="N187" s="976"/>
      <c r="O187" s="1119">
        <f t="shared" si="34"/>
        <v>0</v>
      </c>
      <c r="P187" s="1119">
        <f t="shared" si="33"/>
        <v>0</v>
      </c>
      <c r="Q187" s="1119">
        <f t="shared" si="33"/>
        <v>0</v>
      </c>
      <c r="R187" s="1119">
        <f t="shared" si="33"/>
        <v>0</v>
      </c>
      <c r="S187" s="1119">
        <f t="shared" si="33"/>
        <v>0</v>
      </c>
      <c r="T187" s="1119">
        <f t="shared" si="33"/>
        <v>0</v>
      </c>
      <c r="U187" s="1119">
        <f t="shared" si="33"/>
        <v>0</v>
      </c>
      <c r="V187" s="1119">
        <f t="shared" si="33"/>
        <v>0</v>
      </c>
      <c r="W187" s="1119">
        <f t="shared" si="33"/>
        <v>0</v>
      </c>
      <c r="X187" s="978"/>
      <c r="Y187" s="1120">
        <f t="shared" si="28"/>
        <v>0</v>
      </c>
      <c r="Z187" s="1354"/>
      <c r="AA187" s="1001">
        <v>0</v>
      </c>
      <c r="AB187" s="978"/>
      <c r="AC187" s="1036">
        <f t="shared" si="29"/>
        <v>0</v>
      </c>
      <c r="AD187" s="783">
        <f t="shared" si="30"/>
        <v>0</v>
      </c>
      <c r="AE187" s="1321"/>
      <c r="AF187" s="1322"/>
      <c r="AG187" s="740"/>
    </row>
    <row r="188" spans="1:33">
      <c r="A188" s="96">
        <v>300527</v>
      </c>
      <c r="B188" s="1286" t="s">
        <v>250</v>
      </c>
      <c r="C188" s="782">
        <f>'TAR_Tab 2_Volumina'!N191</f>
        <v>0</v>
      </c>
      <c r="D188" s="976"/>
      <c r="E188" s="1318">
        <v>0</v>
      </c>
      <c r="F188" s="1116">
        <f t="shared" si="24"/>
        <v>0</v>
      </c>
      <c r="G188" s="1116">
        <f t="shared" si="25"/>
        <v>0</v>
      </c>
      <c r="H188" s="976"/>
      <c r="I188" s="1117">
        <f t="shared" si="31"/>
        <v>0</v>
      </c>
      <c r="J188" s="1117">
        <f t="shared" si="31"/>
        <v>0</v>
      </c>
      <c r="K188" s="1320"/>
      <c r="L188" s="1000" t="str">
        <f t="shared" si="26"/>
        <v/>
      </c>
      <c r="M188" s="1118">
        <f t="shared" si="27"/>
        <v>0</v>
      </c>
      <c r="N188" s="976"/>
      <c r="O188" s="1119">
        <f t="shared" si="34"/>
        <v>0</v>
      </c>
      <c r="P188" s="1119">
        <f t="shared" si="33"/>
        <v>0</v>
      </c>
      <c r="Q188" s="1119">
        <f t="shared" si="33"/>
        <v>0</v>
      </c>
      <c r="R188" s="1119">
        <f t="shared" si="33"/>
        <v>0</v>
      </c>
      <c r="S188" s="1119">
        <f t="shared" si="33"/>
        <v>0</v>
      </c>
      <c r="T188" s="1119">
        <f t="shared" si="33"/>
        <v>0</v>
      </c>
      <c r="U188" s="1119">
        <f t="shared" si="33"/>
        <v>0</v>
      </c>
      <c r="V188" s="1119">
        <f t="shared" si="33"/>
        <v>0</v>
      </c>
      <c r="W188" s="1119">
        <f t="shared" si="33"/>
        <v>0</v>
      </c>
      <c r="X188" s="978"/>
      <c r="Y188" s="1120">
        <f t="shared" si="28"/>
        <v>0</v>
      </c>
      <c r="Z188" s="1354"/>
      <c r="AA188" s="1001">
        <v>0</v>
      </c>
      <c r="AB188" s="978"/>
      <c r="AC188" s="1036">
        <f t="shared" si="29"/>
        <v>0</v>
      </c>
      <c r="AD188" s="783">
        <f t="shared" si="30"/>
        <v>0</v>
      </c>
      <c r="AE188" s="1321"/>
      <c r="AF188" s="1322"/>
      <c r="AG188" s="740"/>
    </row>
    <row r="189" spans="1:33">
      <c r="A189" s="96">
        <v>300530</v>
      </c>
      <c r="B189" s="1286" t="s">
        <v>127</v>
      </c>
      <c r="C189" s="782">
        <f>'TAR_Tab 2_Volumina'!N192</f>
        <v>0</v>
      </c>
      <c r="D189" s="976"/>
      <c r="E189" s="1318">
        <v>0</v>
      </c>
      <c r="F189" s="1116">
        <f t="shared" si="24"/>
        <v>0</v>
      </c>
      <c r="G189" s="1116">
        <f t="shared" si="25"/>
        <v>0</v>
      </c>
      <c r="H189" s="976"/>
      <c r="I189" s="1117">
        <f t="shared" si="31"/>
        <v>0</v>
      </c>
      <c r="J189" s="1117">
        <f t="shared" si="31"/>
        <v>0</v>
      </c>
      <c r="K189" s="1320"/>
      <c r="L189" s="1000" t="str">
        <f t="shared" si="26"/>
        <v/>
      </c>
      <c r="M189" s="1118">
        <f t="shared" si="27"/>
        <v>0</v>
      </c>
      <c r="N189" s="976"/>
      <c r="O189" s="1119">
        <f t="shared" si="34"/>
        <v>0</v>
      </c>
      <c r="P189" s="1119">
        <f t="shared" si="33"/>
        <v>0</v>
      </c>
      <c r="Q189" s="1119">
        <f t="shared" si="33"/>
        <v>0</v>
      </c>
      <c r="R189" s="1119">
        <f t="shared" si="33"/>
        <v>0</v>
      </c>
      <c r="S189" s="1119">
        <f t="shared" si="33"/>
        <v>0</v>
      </c>
      <c r="T189" s="1119">
        <f t="shared" si="33"/>
        <v>0</v>
      </c>
      <c r="U189" s="1119">
        <f t="shared" si="33"/>
        <v>0</v>
      </c>
      <c r="V189" s="1119">
        <f t="shared" si="33"/>
        <v>0</v>
      </c>
      <c r="W189" s="1119">
        <f t="shared" si="33"/>
        <v>0</v>
      </c>
      <c r="X189" s="978"/>
      <c r="Y189" s="1120">
        <f t="shared" si="28"/>
        <v>0</v>
      </c>
      <c r="Z189" s="1354"/>
      <c r="AA189" s="1001">
        <v>0</v>
      </c>
      <c r="AB189" s="978"/>
      <c r="AC189" s="1036">
        <f t="shared" si="29"/>
        <v>0</v>
      </c>
      <c r="AD189" s="783">
        <f t="shared" si="30"/>
        <v>0</v>
      </c>
      <c r="AE189" s="1321"/>
      <c r="AF189" s="1322"/>
      <c r="AG189" s="740"/>
    </row>
    <row r="190" spans="1:33">
      <c r="A190" s="96">
        <v>300533</v>
      </c>
      <c r="B190" s="1286" t="s">
        <v>128</v>
      </c>
      <c r="C190" s="782">
        <f>'TAR_Tab 2_Volumina'!N193</f>
        <v>0</v>
      </c>
      <c r="D190" s="976"/>
      <c r="E190" s="1318">
        <v>0</v>
      </c>
      <c r="F190" s="1116">
        <f t="shared" si="24"/>
        <v>0</v>
      </c>
      <c r="G190" s="1116">
        <f t="shared" si="25"/>
        <v>0</v>
      </c>
      <c r="H190" s="976"/>
      <c r="I190" s="1117">
        <f t="shared" si="31"/>
        <v>0</v>
      </c>
      <c r="J190" s="1117">
        <f t="shared" si="31"/>
        <v>0</v>
      </c>
      <c r="K190" s="1320"/>
      <c r="L190" s="1000" t="str">
        <f t="shared" si="26"/>
        <v/>
      </c>
      <c r="M190" s="1118">
        <f t="shared" si="27"/>
        <v>0</v>
      </c>
      <c r="N190" s="976"/>
      <c r="O190" s="1119">
        <f t="shared" si="34"/>
        <v>0</v>
      </c>
      <c r="P190" s="1119">
        <f t="shared" si="33"/>
        <v>0</v>
      </c>
      <c r="Q190" s="1119">
        <f t="shared" si="33"/>
        <v>0</v>
      </c>
      <c r="R190" s="1119">
        <f t="shared" si="33"/>
        <v>0</v>
      </c>
      <c r="S190" s="1119">
        <f t="shared" si="33"/>
        <v>0</v>
      </c>
      <c r="T190" s="1119">
        <f t="shared" si="33"/>
        <v>0</v>
      </c>
      <c r="U190" s="1119">
        <f t="shared" si="33"/>
        <v>0</v>
      </c>
      <c r="V190" s="1119">
        <f t="shared" si="33"/>
        <v>0</v>
      </c>
      <c r="W190" s="1119">
        <f t="shared" si="33"/>
        <v>0</v>
      </c>
      <c r="X190" s="978"/>
      <c r="Y190" s="1120">
        <f t="shared" si="28"/>
        <v>0</v>
      </c>
      <c r="Z190" s="1354"/>
      <c r="AA190" s="1001">
        <v>0</v>
      </c>
      <c r="AB190" s="978"/>
      <c r="AC190" s="1036">
        <f t="shared" si="29"/>
        <v>0</v>
      </c>
      <c r="AD190" s="783">
        <f t="shared" si="30"/>
        <v>0</v>
      </c>
      <c r="AE190" s="1321"/>
      <c r="AF190" s="1322"/>
      <c r="AG190" s="740"/>
    </row>
    <row r="191" spans="1:33">
      <c r="A191" s="96">
        <v>300534</v>
      </c>
      <c r="B191" s="1286" t="s">
        <v>792</v>
      </c>
      <c r="C191" s="782">
        <f>'TAR_Tab 2_Volumina'!N194</f>
        <v>0</v>
      </c>
      <c r="D191" s="976"/>
      <c r="E191" s="1318">
        <v>0</v>
      </c>
      <c r="F191" s="1116">
        <f t="shared" si="24"/>
        <v>0</v>
      </c>
      <c r="G191" s="1116">
        <f t="shared" si="25"/>
        <v>0</v>
      </c>
      <c r="H191" s="976"/>
      <c r="I191" s="1117">
        <f t="shared" si="31"/>
        <v>0</v>
      </c>
      <c r="J191" s="1117">
        <f t="shared" si="31"/>
        <v>0</v>
      </c>
      <c r="K191" s="1320"/>
      <c r="L191" s="1000" t="str">
        <f t="shared" si="26"/>
        <v/>
      </c>
      <c r="M191" s="1118">
        <f t="shared" si="27"/>
        <v>0</v>
      </c>
      <c r="N191" s="976"/>
      <c r="O191" s="1119">
        <f t="shared" si="34"/>
        <v>0</v>
      </c>
      <c r="P191" s="1119">
        <f t="shared" si="33"/>
        <v>0</v>
      </c>
      <c r="Q191" s="1119">
        <f t="shared" si="33"/>
        <v>0</v>
      </c>
      <c r="R191" s="1119">
        <f t="shared" si="33"/>
        <v>0</v>
      </c>
      <c r="S191" s="1119">
        <f t="shared" si="33"/>
        <v>0</v>
      </c>
      <c r="T191" s="1119">
        <f t="shared" si="33"/>
        <v>0</v>
      </c>
      <c r="U191" s="1119">
        <f t="shared" si="33"/>
        <v>0</v>
      </c>
      <c r="V191" s="1119">
        <f t="shared" si="33"/>
        <v>0</v>
      </c>
      <c r="W191" s="1119">
        <f t="shared" si="33"/>
        <v>0</v>
      </c>
      <c r="X191" s="978"/>
      <c r="Y191" s="1120">
        <f t="shared" si="28"/>
        <v>0</v>
      </c>
      <c r="Z191" s="1354"/>
      <c r="AA191" s="1001">
        <v>0</v>
      </c>
      <c r="AB191" s="978"/>
      <c r="AC191" s="1036">
        <f t="shared" si="29"/>
        <v>0</v>
      </c>
      <c r="AD191" s="783">
        <f t="shared" si="30"/>
        <v>0</v>
      </c>
      <c r="AE191" s="1321"/>
      <c r="AF191" s="1322"/>
      <c r="AG191" s="740"/>
    </row>
    <row r="192" spans="1:33">
      <c r="A192" s="96">
        <v>300541</v>
      </c>
      <c r="B192" s="1286" t="s">
        <v>793</v>
      </c>
      <c r="C192" s="782">
        <f>'TAR_Tab 2_Volumina'!N195</f>
        <v>0</v>
      </c>
      <c r="D192" s="976"/>
      <c r="E192" s="1318">
        <v>0</v>
      </c>
      <c r="F192" s="1116">
        <f t="shared" si="24"/>
        <v>0</v>
      </c>
      <c r="G192" s="1116">
        <f t="shared" si="25"/>
        <v>0</v>
      </c>
      <c r="H192" s="976"/>
      <c r="I192" s="1117">
        <f t="shared" si="31"/>
        <v>0</v>
      </c>
      <c r="J192" s="1117">
        <f t="shared" si="31"/>
        <v>0</v>
      </c>
      <c r="K192" s="1320"/>
      <c r="L192" s="1000" t="str">
        <f t="shared" si="26"/>
        <v/>
      </c>
      <c r="M192" s="1118">
        <f t="shared" si="27"/>
        <v>0</v>
      </c>
      <c r="N192" s="976"/>
      <c r="O192" s="1119">
        <f t="shared" si="34"/>
        <v>0</v>
      </c>
      <c r="P192" s="1119">
        <f t="shared" si="33"/>
        <v>0</v>
      </c>
      <c r="Q192" s="1119">
        <f t="shared" si="33"/>
        <v>0</v>
      </c>
      <c r="R192" s="1119">
        <f t="shared" si="33"/>
        <v>0</v>
      </c>
      <c r="S192" s="1119">
        <f t="shared" si="33"/>
        <v>0</v>
      </c>
      <c r="T192" s="1119">
        <f t="shared" si="33"/>
        <v>0</v>
      </c>
      <c r="U192" s="1119">
        <f t="shared" si="33"/>
        <v>0</v>
      </c>
      <c r="V192" s="1119">
        <f t="shared" si="33"/>
        <v>0</v>
      </c>
      <c r="W192" s="1119">
        <f t="shared" si="33"/>
        <v>0</v>
      </c>
      <c r="X192" s="978"/>
      <c r="Y192" s="1120">
        <f t="shared" si="28"/>
        <v>0</v>
      </c>
      <c r="Z192" s="1354"/>
      <c r="AA192" s="1001">
        <v>0</v>
      </c>
      <c r="AB192" s="978"/>
      <c r="AC192" s="1036">
        <f t="shared" si="29"/>
        <v>0</v>
      </c>
      <c r="AD192" s="783">
        <f t="shared" si="30"/>
        <v>0</v>
      </c>
      <c r="AE192" s="1321"/>
      <c r="AF192" s="1322"/>
      <c r="AG192" s="740"/>
    </row>
    <row r="193" spans="1:33">
      <c r="A193" s="96">
        <v>300542</v>
      </c>
      <c r="B193" s="1286" t="s">
        <v>251</v>
      </c>
      <c r="C193" s="782">
        <f>'TAR_Tab 2_Volumina'!N196</f>
        <v>0</v>
      </c>
      <c r="D193" s="976"/>
      <c r="E193" s="1318">
        <v>0</v>
      </c>
      <c r="F193" s="1116">
        <f t="shared" si="24"/>
        <v>0</v>
      </c>
      <c r="G193" s="1116">
        <f t="shared" si="25"/>
        <v>0</v>
      </c>
      <c r="H193" s="976"/>
      <c r="I193" s="1117">
        <f t="shared" si="31"/>
        <v>0</v>
      </c>
      <c r="J193" s="1117">
        <f t="shared" si="31"/>
        <v>0</v>
      </c>
      <c r="K193" s="1320"/>
      <c r="L193" s="1000" t="str">
        <f t="shared" si="26"/>
        <v/>
      </c>
      <c r="M193" s="1118">
        <f t="shared" si="27"/>
        <v>0</v>
      </c>
      <c r="N193" s="976"/>
      <c r="O193" s="1119">
        <f t="shared" si="34"/>
        <v>0</v>
      </c>
      <c r="P193" s="1119">
        <f t="shared" si="33"/>
        <v>0</v>
      </c>
      <c r="Q193" s="1119">
        <f t="shared" si="33"/>
        <v>0</v>
      </c>
      <c r="R193" s="1119">
        <f t="shared" si="33"/>
        <v>0</v>
      </c>
      <c r="S193" s="1119">
        <f t="shared" si="33"/>
        <v>0</v>
      </c>
      <c r="T193" s="1119">
        <f t="shared" si="33"/>
        <v>0</v>
      </c>
      <c r="U193" s="1119">
        <f t="shared" si="33"/>
        <v>0</v>
      </c>
      <c r="V193" s="1119">
        <f t="shared" si="33"/>
        <v>0</v>
      </c>
      <c r="W193" s="1119">
        <f t="shared" si="33"/>
        <v>0</v>
      </c>
      <c r="X193" s="978"/>
      <c r="Y193" s="1120">
        <f t="shared" si="28"/>
        <v>0</v>
      </c>
      <c r="Z193" s="1354"/>
      <c r="AA193" s="1001">
        <v>0</v>
      </c>
      <c r="AB193" s="978"/>
      <c r="AC193" s="1036">
        <f t="shared" si="29"/>
        <v>0</v>
      </c>
      <c r="AD193" s="783">
        <f t="shared" si="30"/>
        <v>0</v>
      </c>
      <c r="AE193" s="1321"/>
      <c r="AF193" s="1322"/>
      <c r="AG193" s="740"/>
    </row>
    <row r="194" spans="1:33">
      <c r="A194" s="96">
        <v>300544</v>
      </c>
      <c r="B194" s="1286" t="s">
        <v>129</v>
      </c>
      <c r="C194" s="782">
        <f>'TAR_Tab 2_Volumina'!N197</f>
        <v>0</v>
      </c>
      <c r="D194" s="976"/>
      <c r="E194" s="1318">
        <v>0</v>
      </c>
      <c r="F194" s="1116">
        <f t="shared" si="24"/>
        <v>0</v>
      </c>
      <c r="G194" s="1116">
        <f t="shared" si="25"/>
        <v>0</v>
      </c>
      <c r="H194" s="976"/>
      <c r="I194" s="1117">
        <f t="shared" si="31"/>
        <v>0</v>
      </c>
      <c r="J194" s="1117">
        <f t="shared" si="31"/>
        <v>0</v>
      </c>
      <c r="K194" s="1320"/>
      <c r="L194" s="1000" t="str">
        <f t="shared" si="26"/>
        <v/>
      </c>
      <c r="M194" s="1118">
        <f t="shared" si="27"/>
        <v>0</v>
      </c>
      <c r="N194" s="976"/>
      <c r="O194" s="1119">
        <f t="shared" si="34"/>
        <v>0</v>
      </c>
      <c r="P194" s="1119">
        <f t="shared" si="33"/>
        <v>0</v>
      </c>
      <c r="Q194" s="1119">
        <f t="shared" si="33"/>
        <v>0</v>
      </c>
      <c r="R194" s="1119">
        <f t="shared" si="33"/>
        <v>0</v>
      </c>
      <c r="S194" s="1119">
        <f t="shared" si="33"/>
        <v>0</v>
      </c>
      <c r="T194" s="1119">
        <f t="shared" si="33"/>
        <v>0</v>
      </c>
      <c r="U194" s="1119">
        <f t="shared" si="33"/>
        <v>0</v>
      </c>
      <c r="V194" s="1119">
        <f t="shared" si="33"/>
        <v>0</v>
      </c>
      <c r="W194" s="1119">
        <f t="shared" si="33"/>
        <v>0</v>
      </c>
      <c r="X194" s="978"/>
      <c r="Y194" s="1120">
        <f t="shared" si="28"/>
        <v>0</v>
      </c>
      <c r="Z194" s="1354"/>
      <c r="AA194" s="1001">
        <v>0</v>
      </c>
      <c r="AB194" s="978"/>
      <c r="AC194" s="1036">
        <f t="shared" si="29"/>
        <v>0</v>
      </c>
      <c r="AD194" s="783">
        <f t="shared" si="30"/>
        <v>0</v>
      </c>
      <c r="AE194" s="1321"/>
      <c r="AF194" s="1322"/>
      <c r="AG194" s="740"/>
    </row>
    <row r="195" spans="1:33">
      <c r="A195" s="96">
        <v>300546</v>
      </c>
      <c r="B195" s="1286" t="s">
        <v>130</v>
      </c>
      <c r="C195" s="782">
        <f>'TAR_Tab 2_Volumina'!N198</f>
        <v>0</v>
      </c>
      <c r="D195" s="976"/>
      <c r="E195" s="1318">
        <v>0</v>
      </c>
      <c r="F195" s="1116">
        <f t="shared" si="24"/>
        <v>0</v>
      </c>
      <c r="G195" s="1116">
        <f t="shared" si="25"/>
        <v>0</v>
      </c>
      <c r="H195" s="976"/>
      <c r="I195" s="1117">
        <f t="shared" si="31"/>
        <v>0</v>
      </c>
      <c r="J195" s="1117">
        <f t="shared" si="31"/>
        <v>0</v>
      </c>
      <c r="K195" s="1320"/>
      <c r="L195" s="1000" t="str">
        <f t="shared" si="26"/>
        <v/>
      </c>
      <c r="M195" s="1118">
        <f t="shared" si="27"/>
        <v>0</v>
      </c>
      <c r="N195" s="976"/>
      <c r="O195" s="1119">
        <f t="shared" si="34"/>
        <v>0</v>
      </c>
      <c r="P195" s="1119">
        <f t="shared" si="33"/>
        <v>0</v>
      </c>
      <c r="Q195" s="1119">
        <f t="shared" si="33"/>
        <v>0</v>
      </c>
      <c r="R195" s="1119">
        <f t="shared" si="33"/>
        <v>0</v>
      </c>
      <c r="S195" s="1119">
        <f t="shared" si="33"/>
        <v>0</v>
      </c>
      <c r="T195" s="1119">
        <f t="shared" si="33"/>
        <v>0</v>
      </c>
      <c r="U195" s="1119">
        <f t="shared" si="33"/>
        <v>0</v>
      </c>
      <c r="V195" s="1119">
        <f t="shared" si="33"/>
        <v>0</v>
      </c>
      <c r="W195" s="1119">
        <f t="shared" si="33"/>
        <v>0</v>
      </c>
      <c r="X195" s="978"/>
      <c r="Y195" s="1120">
        <f t="shared" si="28"/>
        <v>0</v>
      </c>
      <c r="Z195" s="1354"/>
      <c r="AA195" s="1001">
        <v>0</v>
      </c>
      <c r="AB195" s="978"/>
      <c r="AC195" s="1036">
        <f t="shared" si="29"/>
        <v>0</v>
      </c>
      <c r="AD195" s="783">
        <f t="shared" si="30"/>
        <v>0</v>
      </c>
      <c r="AE195" s="1321"/>
      <c r="AF195" s="1322"/>
      <c r="AG195" s="740"/>
    </row>
    <row r="196" spans="1:33">
      <c r="A196" s="96">
        <v>300549</v>
      </c>
      <c r="B196" s="1286" t="s">
        <v>131</v>
      </c>
      <c r="C196" s="782">
        <f>'TAR_Tab 2_Volumina'!N199</f>
        <v>0</v>
      </c>
      <c r="D196" s="976"/>
      <c r="E196" s="1318">
        <v>0</v>
      </c>
      <c r="F196" s="1116">
        <f t="shared" si="24"/>
        <v>0</v>
      </c>
      <c r="G196" s="1116">
        <f t="shared" si="25"/>
        <v>0</v>
      </c>
      <c r="H196" s="976"/>
      <c r="I196" s="1117">
        <f t="shared" si="31"/>
        <v>0</v>
      </c>
      <c r="J196" s="1117">
        <f t="shared" si="31"/>
        <v>0</v>
      </c>
      <c r="K196" s="1320"/>
      <c r="L196" s="1000" t="str">
        <f t="shared" si="26"/>
        <v/>
      </c>
      <c r="M196" s="1118">
        <f t="shared" si="27"/>
        <v>0</v>
      </c>
      <c r="N196" s="976"/>
      <c r="O196" s="1119">
        <f t="shared" si="34"/>
        <v>0</v>
      </c>
      <c r="P196" s="1119">
        <f t="shared" si="33"/>
        <v>0</v>
      </c>
      <c r="Q196" s="1119">
        <f t="shared" si="33"/>
        <v>0</v>
      </c>
      <c r="R196" s="1119">
        <f t="shared" si="33"/>
        <v>0</v>
      </c>
      <c r="S196" s="1119">
        <f t="shared" si="33"/>
        <v>0</v>
      </c>
      <c r="T196" s="1119">
        <f t="shared" si="33"/>
        <v>0</v>
      </c>
      <c r="U196" s="1119">
        <f t="shared" si="33"/>
        <v>0</v>
      </c>
      <c r="V196" s="1119">
        <f t="shared" si="33"/>
        <v>0</v>
      </c>
      <c r="W196" s="1119">
        <f t="shared" si="33"/>
        <v>0</v>
      </c>
      <c r="X196" s="978"/>
      <c r="Y196" s="1120">
        <f t="shared" si="28"/>
        <v>0</v>
      </c>
      <c r="Z196" s="1354"/>
      <c r="AA196" s="1001">
        <v>0</v>
      </c>
      <c r="AB196" s="978"/>
      <c r="AC196" s="1036">
        <f t="shared" si="29"/>
        <v>0</v>
      </c>
      <c r="AD196" s="783">
        <f t="shared" si="30"/>
        <v>0</v>
      </c>
      <c r="AE196" s="1321"/>
      <c r="AF196" s="1322"/>
      <c r="AG196" s="740"/>
    </row>
    <row r="197" spans="1:33">
      <c r="A197" s="96">
        <v>300552</v>
      </c>
      <c r="B197" s="1286" t="s">
        <v>794</v>
      </c>
      <c r="C197" s="782">
        <f>'TAR_Tab 2_Volumina'!N200</f>
        <v>0</v>
      </c>
      <c r="D197" s="976"/>
      <c r="E197" s="1318">
        <v>0</v>
      </c>
      <c r="F197" s="1116">
        <f t="shared" si="24"/>
        <v>0</v>
      </c>
      <c r="G197" s="1116">
        <f t="shared" si="25"/>
        <v>0</v>
      </c>
      <c r="H197" s="976"/>
      <c r="I197" s="1117">
        <f t="shared" si="31"/>
        <v>0</v>
      </c>
      <c r="J197" s="1117">
        <f t="shared" si="31"/>
        <v>0</v>
      </c>
      <c r="K197" s="1320"/>
      <c r="L197" s="1000" t="str">
        <f t="shared" si="26"/>
        <v/>
      </c>
      <c r="M197" s="1118">
        <f t="shared" si="27"/>
        <v>0</v>
      </c>
      <c r="N197" s="976"/>
      <c r="O197" s="1119">
        <f t="shared" si="34"/>
        <v>0</v>
      </c>
      <c r="P197" s="1119">
        <f t="shared" si="33"/>
        <v>0</v>
      </c>
      <c r="Q197" s="1119">
        <f t="shared" si="33"/>
        <v>0</v>
      </c>
      <c r="R197" s="1119">
        <f t="shared" si="33"/>
        <v>0</v>
      </c>
      <c r="S197" s="1119">
        <f t="shared" si="33"/>
        <v>0</v>
      </c>
      <c r="T197" s="1119">
        <f t="shared" si="33"/>
        <v>0</v>
      </c>
      <c r="U197" s="1119">
        <f t="shared" si="33"/>
        <v>0</v>
      </c>
      <c r="V197" s="1119">
        <f t="shared" si="33"/>
        <v>0</v>
      </c>
      <c r="W197" s="1119">
        <f t="shared" si="33"/>
        <v>0</v>
      </c>
      <c r="X197" s="978"/>
      <c r="Y197" s="1120">
        <f t="shared" si="28"/>
        <v>0</v>
      </c>
      <c r="Z197" s="1354"/>
      <c r="AA197" s="1001">
        <v>0</v>
      </c>
      <c r="AB197" s="978"/>
      <c r="AC197" s="1036">
        <f t="shared" si="29"/>
        <v>0</v>
      </c>
      <c r="AD197" s="783">
        <f t="shared" si="30"/>
        <v>0</v>
      </c>
      <c r="AE197" s="1321"/>
      <c r="AF197" s="1322"/>
      <c r="AG197" s="740"/>
    </row>
    <row r="198" spans="1:33">
      <c r="A198" s="96">
        <v>300553</v>
      </c>
      <c r="B198" s="1286" t="s">
        <v>132</v>
      </c>
      <c r="C198" s="782">
        <f>'TAR_Tab 2_Volumina'!N201</f>
        <v>0</v>
      </c>
      <c r="D198" s="976"/>
      <c r="E198" s="1318">
        <v>0</v>
      </c>
      <c r="F198" s="1116">
        <f t="shared" si="24"/>
        <v>0</v>
      </c>
      <c r="G198" s="1116">
        <f t="shared" si="25"/>
        <v>0</v>
      </c>
      <c r="H198" s="976"/>
      <c r="I198" s="1117">
        <f t="shared" si="31"/>
        <v>0</v>
      </c>
      <c r="J198" s="1117">
        <f t="shared" si="31"/>
        <v>0</v>
      </c>
      <c r="K198" s="1320"/>
      <c r="L198" s="1000" t="str">
        <f t="shared" si="26"/>
        <v/>
      </c>
      <c r="M198" s="1118">
        <f t="shared" si="27"/>
        <v>0</v>
      </c>
      <c r="N198" s="976"/>
      <c r="O198" s="1119">
        <f t="shared" si="34"/>
        <v>0</v>
      </c>
      <c r="P198" s="1119">
        <f t="shared" si="33"/>
        <v>0</v>
      </c>
      <c r="Q198" s="1119">
        <f t="shared" si="33"/>
        <v>0</v>
      </c>
      <c r="R198" s="1119">
        <f t="shared" si="33"/>
        <v>0</v>
      </c>
      <c r="S198" s="1119">
        <f t="shared" si="33"/>
        <v>0</v>
      </c>
      <c r="T198" s="1119">
        <f t="shared" si="33"/>
        <v>0</v>
      </c>
      <c r="U198" s="1119">
        <f t="shared" si="33"/>
        <v>0</v>
      </c>
      <c r="V198" s="1119">
        <f t="shared" si="33"/>
        <v>0</v>
      </c>
      <c r="W198" s="1119">
        <f t="shared" si="33"/>
        <v>0</v>
      </c>
      <c r="X198" s="978"/>
      <c r="Y198" s="1120">
        <f t="shared" si="28"/>
        <v>0</v>
      </c>
      <c r="Z198" s="1354"/>
      <c r="AA198" s="1001">
        <v>0</v>
      </c>
      <c r="AB198" s="978"/>
      <c r="AC198" s="1036">
        <f t="shared" si="29"/>
        <v>0</v>
      </c>
      <c r="AD198" s="783">
        <f t="shared" si="30"/>
        <v>0</v>
      </c>
      <c r="AE198" s="1321"/>
      <c r="AF198" s="1322"/>
      <c r="AG198" s="740"/>
    </row>
    <row r="199" spans="1:33">
      <c r="A199" s="96">
        <v>300555</v>
      </c>
      <c r="B199" s="1286" t="s">
        <v>146</v>
      </c>
      <c r="C199" s="782">
        <f>'TAR_Tab 2_Volumina'!N202</f>
        <v>1</v>
      </c>
      <c r="D199" s="976"/>
      <c r="E199" s="1318">
        <v>17861.01390568259</v>
      </c>
      <c r="F199" s="1116">
        <f t="shared" ref="F199:F262" si="35">E199*$F$5*C199</f>
        <v>16996.540832647552</v>
      </c>
      <c r="G199" s="1116">
        <f t="shared" ref="G199:G262" si="36">F199*$G$5</f>
        <v>17393.767082242914</v>
      </c>
      <c r="H199" s="976"/>
      <c r="I199" s="1117">
        <f t="shared" si="31"/>
        <v>16524.078728130768</v>
      </c>
      <c r="J199" s="1117">
        <f t="shared" si="31"/>
        <v>18263.45543635506</v>
      </c>
      <c r="K199" s="1320"/>
      <c r="L199" s="1000" t="str">
        <f t="shared" si="26"/>
        <v/>
      </c>
      <c r="M199" s="1118">
        <f t="shared" si="27"/>
        <v>17393.767082242914</v>
      </c>
      <c r="N199" s="976"/>
      <c r="O199" s="1119">
        <f t="shared" si="34"/>
        <v>-806.68567480189563</v>
      </c>
      <c r="P199" s="1119">
        <f t="shared" si="33"/>
        <v>834.70472044811856</v>
      </c>
      <c r="Q199" s="1119">
        <f t="shared" si="33"/>
        <v>0</v>
      </c>
      <c r="R199" s="1119">
        <f t="shared" si="33"/>
        <v>31.44541525601797</v>
      </c>
      <c r="S199" s="1119">
        <f t="shared" si="33"/>
        <v>728.26984823413966</v>
      </c>
      <c r="T199" s="1119">
        <f t="shared" si="33"/>
        <v>-95.309108646485171</v>
      </c>
      <c r="U199" s="1119">
        <f t="shared" si="33"/>
        <v>-3.5856362779786122</v>
      </c>
      <c r="V199" s="1119">
        <f t="shared" si="33"/>
        <v>-296.46925773814843</v>
      </c>
      <c r="W199" s="1119">
        <f t="shared" si="33"/>
        <v>23.392442910364515</v>
      </c>
      <c r="X199" s="978"/>
      <c r="Y199" s="1120">
        <f t="shared" si="28"/>
        <v>17809.529831627045</v>
      </c>
      <c r="Z199" s="1354"/>
      <c r="AA199" s="1001">
        <v>0.26653025812324715</v>
      </c>
      <c r="AB199" s="978"/>
      <c r="AC199" s="1036">
        <f t="shared" si="29"/>
        <v>0.26653025812324715</v>
      </c>
      <c r="AD199" s="783">
        <f t="shared" si="30"/>
        <v>0.26700000000000002</v>
      </c>
      <c r="AE199" s="1321"/>
      <c r="AF199" s="1322"/>
      <c r="AG199" s="740"/>
    </row>
    <row r="200" spans="1:33">
      <c r="A200" s="96">
        <v>300556</v>
      </c>
      <c r="B200" s="1286" t="s">
        <v>147</v>
      </c>
      <c r="C200" s="782">
        <f>'TAR_Tab 2_Volumina'!N203</f>
        <v>0</v>
      </c>
      <c r="D200" s="976"/>
      <c r="E200" s="1318">
        <v>0</v>
      </c>
      <c r="F200" s="1116">
        <f t="shared" si="35"/>
        <v>0</v>
      </c>
      <c r="G200" s="1116">
        <f t="shared" si="36"/>
        <v>0</v>
      </c>
      <c r="H200" s="976"/>
      <c r="I200" s="1117">
        <f t="shared" si="31"/>
        <v>0</v>
      </c>
      <c r="J200" s="1117">
        <f t="shared" si="31"/>
        <v>0</v>
      </c>
      <c r="K200" s="1320"/>
      <c r="L200" s="1000" t="str">
        <f t="shared" ref="L200:L263" si="37">IF(K200&gt;0,AND(K200&gt;=I200,K200&lt;=J200),"")</f>
        <v/>
      </c>
      <c r="M200" s="1118">
        <f t="shared" ref="M200:M263" si="38">IF(K200&gt;0,K200,G200)</f>
        <v>0</v>
      </c>
      <c r="N200" s="976"/>
      <c r="O200" s="1119">
        <f t="shared" si="34"/>
        <v>0</v>
      </c>
      <c r="P200" s="1119">
        <f t="shared" si="33"/>
        <v>0</v>
      </c>
      <c r="Q200" s="1119">
        <f t="shared" si="33"/>
        <v>0</v>
      </c>
      <c r="R200" s="1119">
        <f t="shared" si="33"/>
        <v>0</v>
      </c>
      <c r="S200" s="1119">
        <f t="shared" si="33"/>
        <v>0</v>
      </c>
      <c r="T200" s="1119">
        <f t="shared" si="33"/>
        <v>0</v>
      </c>
      <c r="U200" s="1119">
        <f t="shared" si="33"/>
        <v>0</v>
      </c>
      <c r="V200" s="1119">
        <f t="shared" si="33"/>
        <v>0</v>
      </c>
      <c r="W200" s="1119">
        <f t="shared" si="33"/>
        <v>0</v>
      </c>
      <c r="X200" s="978"/>
      <c r="Y200" s="1120">
        <f t="shared" ref="Y200:Y263" si="39">M200+SUM(O200:W200)</f>
        <v>0</v>
      </c>
      <c r="Z200" s="1354"/>
      <c r="AA200" s="1001">
        <v>0</v>
      </c>
      <c r="AB200" s="978"/>
      <c r="AC200" s="1036">
        <f t="shared" ref="AC200:AC263" si="40">AA200</f>
        <v>0</v>
      </c>
      <c r="AD200" s="783">
        <f t="shared" ref="AD200:AD263" si="41">ROUND(AC200,3)</f>
        <v>0</v>
      </c>
      <c r="AE200" s="1321"/>
      <c r="AF200" s="1322"/>
      <c r="AG200" s="740"/>
    </row>
    <row r="201" spans="1:33">
      <c r="A201" s="96">
        <v>300558</v>
      </c>
      <c r="B201" s="1286" t="s">
        <v>148</v>
      </c>
      <c r="C201" s="782">
        <f>'TAR_Tab 2_Volumina'!N204</f>
        <v>0</v>
      </c>
      <c r="D201" s="976"/>
      <c r="E201" s="1318">
        <v>0</v>
      </c>
      <c r="F201" s="1116">
        <f t="shared" si="35"/>
        <v>0</v>
      </c>
      <c r="G201" s="1116">
        <f t="shared" si="36"/>
        <v>0</v>
      </c>
      <c r="H201" s="976"/>
      <c r="I201" s="1117">
        <f t="shared" si="31"/>
        <v>0</v>
      </c>
      <c r="J201" s="1117">
        <f t="shared" si="31"/>
        <v>0</v>
      </c>
      <c r="K201" s="1320"/>
      <c r="L201" s="1000" t="str">
        <f t="shared" si="37"/>
        <v/>
      </c>
      <c r="M201" s="1118">
        <f t="shared" si="38"/>
        <v>0</v>
      </c>
      <c r="N201" s="976"/>
      <c r="O201" s="1119">
        <f t="shared" si="34"/>
        <v>0</v>
      </c>
      <c r="P201" s="1119">
        <f t="shared" si="33"/>
        <v>0</v>
      </c>
      <c r="Q201" s="1119">
        <f t="shared" si="33"/>
        <v>0</v>
      </c>
      <c r="R201" s="1119">
        <f t="shared" si="33"/>
        <v>0</v>
      </c>
      <c r="S201" s="1119">
        <f t="shared" si="33"/>
        <v>0</v>
      </c>
      <c r="T201" s="1119">
        <f t="shared" si="33"/>
        <v>0</v>
      </c>
      <c r="U201" s="1119">
        <f t="shared" si="33"/>
        <v>0</v>
      </c>
      <c r="V201" s="1119">
        <f t="shared" si="33"/>
        <v>0</v>
      </c>
      <c r="W201" s="1119">
        <f t="shared" si="33"/>
        <v>0</v>
      </c>
      <c r="X201" s="978"/>
      <c r="Y201" s="1120">
        <f t="shared" si="39"/>
        <v>0</v>
      </c>
      <c r="Z201" s="1354"/>
      <c r="AA201" s="1001">
        <v>0</v>
      </c>
      <c r="AB201" s="978"/>
      <c r="AC201" s="1036">
        <f t="shared" si="40"/>
        <v>0</v>
      </c>
      <c r="AD201" s="783">
        <f t="shared" si="41"/>
        <v>0</v>
      </c>
      <c r="AE201" s="1321"/>
      <c r="AF201" s="1322"/>
      <c r="AG201" s="740"/>
    </row>
    <row r="202" spans="1:33">
      <c r="A202" s="96">
        <v>300563</v>
      </c>
      <c r="B202" s="1286" t="s">
        <v>280</v>
      </c>
      <c r="C202" s="782">
        <f>'TAR_Tab 2_Volumina'!N205</f>
        <v>1</v>
      </c>
      <c r="D202" s="976"/>
      <c r="E202" s="1318">
        <v>53583.041717047774</v>
      </c>
      <c r="F202" s="1116">
        <f t="shared" si="35"/>
        <v>50989.622497942662</v>
      </c>
      <c r="G202" s="1116">
        <f t="shared" si="36"/>
        <v>52181.301246728748</v>
      </c>
      <c r="H202" s="976"/>
      <c r="I202" s="1117">
        <f t="shared" si="31"/>
        <v>49572.236184392306</v>
      </c>
      <c r="J202" s="1117">
        <f t="shared" si="31"/>
        <v>54790.36630906519</v>
      </c>
      <c r="K202" s="1320"/>
      <c r="L202" s="1000" t="str">
        <f t="shared" si="37"/>
        <v/>
      </c>
      <c r="M202" s="1118">
        <f t="shared" si="38"/>
        <v>52181.301246728748</v>
      </c>
      <c r="N202" s="976"/>
      <c r="O202" s="1119">
        <f t="shared" si="34"/>
        <v>-2420.0570244056871</v>
      </c>
      <c r="P202" s="1119">
        <f t="shared" si="33"/>
        <v>2504.114161344356</v>
      </c>
      <c r="Q202" s="1119">
        <f t="shared" si="33"/>
        <v>0</v>
      </c>
      <c r="R202" s="1119">
        <f t="shared" si="33"/>
        <v>94.336245768053928</v>
      </c>
      <c r="S202" s="1119">
        <f t="shared" si="33"/>
        <v>2184.8095447024193</v>
      </c>
      <c r="T202" s="1119">
        <f t="shared" si="33"/>
        <v>-285.92732593945556</v>
      </c>
      <c r="U202" s="1119">
        <f t="shared" si="33"/>
        <v>-10.756908833935839</v>
      </c>
      <c r="V202" s="1119">
        <f t="shared" si="33"/>
        <v>-889.40777321444534</v>
      </c>
      <c r="W202" s="1119">
        <f t="shared" si="33"/>
        <v>70.177328731093553</v>
      </c>
      <c r="X202" s="978"/>
      <c r="Y202" s="1120">
        <f t="shared" si="39"/>
        <v>53428.589494881147</v>
      </c>
      <c r="Z202" s="1354"/>
      <c r="AA202" s="1001">
        <v>7.1930715708044088E-2</v>
      </c>
      <c r="AB202" s="978"/>
      <c r="AC202" s="1036">
        <f t="shared" si="40"/>
        <v>7.1930715708044088E-2</v>
      </c>
      <c r="AD202" s="783">
        <f t="shared" si="41"/>
        <v>7.1999999999999995E-2</v>
      </c>
      <c r="AE202" s="1321"/>
      <c r="AF202" s="1322"/>
      <c r="AG202" s="740"/>
    </row>
    <row r="203" spans="1:33">
      <c r="A203" s="96">
        <v>300564</v>
      </c>
      <c r="B203" s="1286" t="s">
        <v>281</v>
      </c>
      <c r="C203" s="782">
        <f>'TAR_Tab 2_Volumina'!N206</f>
        <v>1</v>
      </c>
      <c r="D203" s="976"/>
      <c r="E203" s="1318">
        <v>125027.09733977813</v>
      </c>
      <c r="F203" s="1116">
        <f t="shared" si="35"/>
        <v>118975.78582853287</v>
      </c>
      <c r="G203" s="1116">
        <f t="shared" si="36"/>
        <v>121756.3695757004</v>
      </c>
      <c r="H203" s="976"/>
      <c r="I203" s="1117">
        <f t="shared" si="31"/>
        <v>115668.55109691538</v>
      </c>
      <c r="J203" s="1117">
        <f t="shared" si="31"/>
        <v>127844.18805448542</v>
      </c>
      <c r="K203" s="1320"/>
      <c r="L203" s="1000" t="str">
        <f t="shared" si="37"/>
        <v/>
      </c>
      <c r="M203" s="1118">
        <f t="shared" si="38"/>
        <v>121756.3695757004</v>
      </c>
      <c r="N203" s="976"/>
      <c r="O203" s="1119">
        <f t="shared" si="34"/>
        <v>-5646.7997236132696</v>
      </c>
      <c r="P203" s="1119">
        <f t="shared" si="33"/>
        <v>5842.9330431368307</v>
      </c>
      <c r="Q203" s="1119">
        <f t="shared" si="33"/>
        <v>0</v>
      </c>
      <c r="R203" s="1119">
        <f t="shared" si="33"/>
        <v>220.11790679212581</v>
      </c>
      <c r="S203" s="1119">
        <f t="shared" si="33"/>
        <v>5097.8889376389779</v>
      </c>
      <c r="T203" s="1119">
        <f t="shared" si="33"/>
        <v>-667.16376052539624</v>
      </c>
      <c r="U203" s="1119">
        <f t="shared" si="33"/>
        <v>-25.099453945850289</v>
      </c>
      <c r="V203" s="1119">
        <f t="shared" si="33"/>
        <v>-2075.2848041670391</v>
      </c>
      <c r="W203" s="1119">
        <f t="shared" si="33"/>
        <v>163.74710037255161</v>
      </c>
      <c r="X203" s="978"/>
      <c r="Y203" s="1120">
        <f t="shared" si="39"/>
        <v>124666.70882138933</v>
      </c>
      <c r="Z203" s="1354"/>
      <c r="AA203" s="1001">
        <v>8.4976815086860322E-2</v>
      </c>
      <c r="AB203" s="978"/>
      <c r="AC203" s="1036">
        <f t="shared" si="40"/>
        <v>8.4976815086860322E-2</v>
      </c>
      <c r="AD203" s="783">
        <f t="shared" si="41"/>
        <v>8.5000000000000006E-2</v>
      </c>
      <c r="AE203" s="1321"/>
      <c r="AF203" s="1322"/>
      <c r="AG203" s="740"/>
    </row>
    <row r="204" spans="1:33">
      <c r="A204" s="96">
        <v>300569</v>
      </c>
      <c r="B204" s="1286" t="s">
        <v>282</v>
      </c>
      <c r="C204" s="782">
        <f>'TAR_Tab 2_Volumina'!N207</f>
        <v>1</v>
      </c>
      <c r="D204" s="976"/>
      <c r="E204" s="1318">
        <v>35722.02781136518</v>
      </c>
      <c r="F204" s="1116">
        <f t="shared" si="35"/>
        <v>33993.081665295103</v>
      </c>
      <c r="G204" s="1116">
        <f t="shared" si="36"/>
        <v>34787.534164485827</v>
      </c>
      <c r="H204" s="976"/>
      <c r="I204" s="1117">
        <f t="shared" si="31"/>
        <v>33048.157456261535</v>
      </c>
      <c r="J204" s="1117">
        <f t="shared" si="31"/>
        <v>36526.910872710119</v>
      </c>
      <c r="K204" s="1320"/>
      <c r="L204" s="1000" t="str">
        <f t="shared" si="37"/>
        <v/>
      </c>
      <c r="M204" s="1118">
        <f t="shared" si="38"/>
        <v>34787.534164485827</v>
      </c>
      <c r="N204" s="976"/>
      <c r="O204" s="1119">
        <f t="shared" si="34"/>
        <v>-1613.3713496037913</v>
      </c>
      <c r="P204" s="1119">
        <f t="shared" si="33"/>
        <v>1669.4094408962371</v>
      </c>
      <c r="Q204" s="1119">
        <f t="shared" si="33"/>
        <v>0</v>
      </c>
      <c r="R204" s="1119">
        <f t="shared" si="33"/>
        <v>62.89083051203594</v>
      </c>
      <c r="S204" s="1119">
        <f t="shared" si="33"/>
        <v>1456.5396964682793</v>
      </c>
      <c r="T204" s="1119">
        <f t="shared" si="33"/>
        <v>-190.61821729297034</v>
      </c>
      <c r="U204" s="1119">
        <f t="shared" si="33"/>
        <v>-7.1712725559572243</v>
      </c>
      <c r="V204" s="1119">
        <f t="shared" si="33"/>
        <v>-592.93851547629686</v>
      </c>
      <c r="W204" s="1119">
        <f t="shared" si="33"/>
        <v>46.784885820729031</v>
      </c>
      <c r="X204" s="978"/>
      <c r="Y204" s="1120">
        <f t="shared" si="39"/>
        <v>35619.059663254091</v>
      </c>
      <c r="Z204" s="1354"/>
      <c r="AA204" s="1001">
        <v>7.2223402071943499E-2</v>
      </c>
      <c r="AB204" s="978"/>
      <c r="AC204" s="1036">
        <f t="shared" si="40"/>
        <v>7.2223402071943499E-2</v>
      </c>
      <c r="AD204" s="783">
        <f t="shared" si="41"/>
        <v>7.1999999999999995E-2</v>
      </c>
      <c r="AE204" s="1321"/>
      <c r="AF204" s="1322"/>
      <c r="AG204" s="740"/>
    </row>
    <row r="205" spans="1:33">
      <c r="A205" s="96">
        <v>300571</v>
      </c>
      <c r="B205" s="1286" t="s">
        <v>283</v>
      </c>
      <c r="C205" s="782">
        <f>'TAR_Tab 2_Volumina'!N208</f>
        <v>1</v>
      </c>
      <c r="D205" s="976"/>
      <c r="E205" s="1318">
        <v>71444.05562273036</v>
      </c>
      <c r="F205" s="1116">
        <f t="shared" si="35"/>
        <v>67986.163330590207</v>
      </c>
      <c r="G205" s="1116">
        <f t="shared" si="36"/>
        <v>69575.068328971654</v>
      </c>
      <c r="H205" s="976"/>
      <c r="I205" s="1117">
        <f t="shared" ref="I205:J268" si="42">$G205*I$5</f>
        <v>66096.31491252307</v>
      </c>
      <c r="J205" s="1117">
        <f t="shared" si="42"/>
        <v>73053.821745420239</v>
      </c>
      <c r="K205" s="1320"/>
      <c r="L205" s="1000" t="str">
        <f t="shared" si="37"/>
        <v/>
      </c>
      <c r="M205" s="1118">
        <f t="shared" si="38"/>
        <v>69575.068328971654</v>
      </c>
      <c r="N205" s="976"/>
      <c r="O205" s="1119">
        <f t="shared" si="34"/>
        <v>-3226.7426992075825</v>
      </c>
      <c r="P205" s="1119">
        <f t="shared" si="33"/>
        <v>3338.8188817924743</v>
      </c>
      <c r="Q205" s="1119">
        <f t="shared" si="33"/>
        <v>0</v>
      </c>
      <c r="R205" s="1119">
        <f t="shared" si="33"/>
        <v>125.78166102407188</v>
      </c>
      <c r="S205" s="1119">
        <f t="shared" si="33"/>
        <v>2913.0793929365586</v>
      </c>
      <c r="T205" s="1119">
        <f t="shared" si="33"/>
        <v>-381.23643458594069</v>
      </c>
      <c r="U205" s="1119">
        <f t="shared" si="33"/>
        <v>-14.342545111914449</v>
      </c>
      <c r="V205" s="1119">
        <f t="shared" si="33"/>
        <v>-1185.8770309525937</v>
      </c>
      <c r="W205" s="1119">
        <f t="shared" si="33"/>
        <v>93.569771641458061</v>
      </c>
      <c r="X205" s="978"/>
      <c r="Y205" s="1120">
        <f t="shared" si="39"/>
        <v>71238.119326508182</v>
      </c>
      <c r="Z205" s="1354"/>
      <c r="AA205" s="1001">
        <v>7.1770721293893766E-2</v>
      </c>
      <c r="AB205" s="978"/>
      <c r="AC205" s="1036">
        <f t="shared" si="40"/>
        <v>7.1770721293893766E-2</v>
      </c>
      <c r="AD205" s="783">
        <f t="shared" si="41"/>
        <v>7.1999999999999995E-2</v>
      </c>
      <c r="AE205" s="1321"/>
      <c r="AF205" s="1322"/>
      <c r="AG205" s="740"/>
    </row>
    <row r="206" spans="1:33">
      <c r="A206" s="96">
        <v>300572</v>
      </c>
      <c r="B206" s="1286" t="s">
        <v>150</v>
      </c>
      <c r="C206" s="782">
        <f>'TAR_Tab 2_Volumina'!N209</f>
        <v>0</v>
      </c>
      <c r="D206" s="976"/>
      <c r="E206" s="1318">
        <v>0</v>
      </c>
      <c r="F206" s="1116">
        <f t="shared" si="35"/>
        <v>0</v>
      </c>
      <c r="G206" s="1116">
        <f t="shared" si="36"/>
        <v>0</v>
      </c>
      <c r="H206" s="976"/>
      <c r="I206" s="1117">
        <f t="shared" si="42"/>
        <v>0</v>
      </c>
      <c r="J206" s="1117">
        <f t="shared" si="42"/>
        <v>0</v>
      </c>
      <c r="K206" s="1320"/>
      <c r="L206" s="1000" t="str">
        <f t="shared" si="37"/>
        <v/>
      </c>
      <c r="M206" s="1118">
        <f t="shared" si="38"/>
        <v>0</v>
      </c>
      <c r="N206" s="976"/>
      <c r="O206" s="1119">
        <f t="shared" si="34"/>
        <v>0</v>
      </c>
      <c r="P206" s="1119">
        <f t="shared" si="33"/>
        <v>0</v>
      </c>
      <c r="Q206" s="1119">
        <f t="shared" si="33"/>
        <v>0</v>
      </c>
      <c r="R206" s="1119">
        <f t="shared" si="33"/>
        <v>0</v>
      </c>
      <c r="S206" s="1119">
        <f t="shared" si="33"/>
        <v>0</v>
      </c>
      <c r="T206" s="1119">
        <f t="shared" si="33"/>
        <v>0</v>
      </c>
      <c r="U206" s="1119">
        <f t="shared" si="33"/>
        <v>0</v>
      </c>
      <c r="V206" s="1119">
        <f t="shared" si="33"/>
        <v>0</v>
      </c>
      <c r="W206" s="1119">
        <f t="shared" si="33"/>
        <v>0</v>
      </c>
      <c r="X206" s="978"/>
      <c r="Y206" s="1120">
        <f t="shared" si="39"/>
        <v>0</v>
      </c>
      <c r="Z206" s="1354"/>
      <c r="AA206" s="1001">
        <v>0</v>
      </c>
      <c r="AB206" s="978"/>
      <c r="AC206" s="1036">
        <f t="shared" si="40"/>
        <v>0</v>
      </c>
      <c r="AD206" s="783">
        <f t="shared" si="41"/>
        <v>0</v>
      </c>
      <c r="AE206" s="1321"/>
      <c r="AF206" s="1322"/>
      <c r="AG206" s="740"/>
    </row>
    <row r="207" spans="1:33">
      <c r="A207" s="96">
        <v>300573</v>
      </c>
      <c r="B207" s="1286" t="s">
        <v>151</v>
      </c>
      <c r="C207" s="782">
        <f>'TAR_Tab 2_Volumina'!N210</f>
        <v>0</v>
      </c>
      <c r="D207" s="976"/>
      <c r="E207" s="1318">
        <v>0</v>
      </c>
      <c r="F207" s="1116">
        <f t="shared" si="35"/>
        <v>0</v>
      </c>
      <c r="G207" s="1116">
        <f t="shared" si="36"/>
        <v>0</v>
      </c>
      <c r="H207" s="976"/>
      <c r="I207" s="1117">
        <f t="shared" si="42"/>
        <v>0</v>
      </c>
      <c r="J207" s="1117">
        <f t="shared" si="42"/>
        <v>0</v>
      </c>
      <c r="K207" s="1320"/>
      <c r="L207" s="1000" t="str">
        <f t="shared" si="37"/>
        <v/>
      </c>
      <c r="M207" s="1118">
        <f t="shared" si="38"/>
        <v>0</v>
      </c>
      <c r="N207" s="976"/>
      <c r="O207" s="1119">
        <f t="shared" si="34"/>
        <v>0</v>
      </c>
      <c r="P207" s="1119">
        <f t="shared" si="33"/>
        <v>0</v>
      </c>
      <c r="Q207" s="1119">
        <f t="shared" si="33"/>
        <v>0</v>
      </c>
      <c r="R207" s="1119">
        <f t="shared" si="33"/>
        <v>0</v>
      </c>
      <c r="S207" s="1119">
        <f t="shared" si="33"/>
        <v>0</v>
      </c>
      <c r="T207" s="1119">
        <f t="shared" si="33"/>
        <v>0</v>
      </c>
      <c r="U207" s="1119">
        <f t="shared" si="33"/>
        <v>0</v>
      </c>
      <c r="V207" s="1119">
        <f t="shared" si="33"/>
        <v>0</v>
      </c>
      <c r="W207" s="1119">
        <f t="shared" si="33"/>
        <v>0</v>
      </c>
      <c r="X207" s="978"/>
      <c r="Y207" s="1120">
        <f t="shared" si="39"/>
        <v>0</v>
      </c>
      <c r="Z207" s="1354"/>
      <c r="AA207" s="1001">
        <v>0</v>
      </c>
      <c r="AB207" s="978"/>
      <c r="AC207" s="1036">
        <f t="shared" si="40"/>
        <v>0</v>
      </c>
      <c r="AD207" s="783">
        <f t="shared" si="41"/>
        <v>0</v>
      </c>
      <c r="AE207" s="1321"/>
      <c r="AF207" s="1322"/>
      <c r="AG207" s="740"/>
    </row>
    <row r="208" spans="1:33">
      <c r="A208" s="96">
        <v>300582</v>
      </c>
      <c r="B208" s="1286" t="s">
        <v>152</v>
      </c>
      <c r="C208" s="782">
        <f>'TAR_Tab 2_Volumina'!N211</f>
        <v>1</v>
      </c>
      <c r="D208" s="976"/>
      <c r="E208" s="1318">
        <v>17861.01390568259</v>
      </c>
      <c r="F208" s="1116">
        <f t="shared" si="35"/>
        <v>16996.540832647552</v>
      </c>
      <c r="G208" s="1116">
        <f t="shared" si="36"/>
        <v>17393.767082242914</v>
      </c>
      <c r="H208" s="976"/>
      <c r="I208" s="1117">
        <f t="shared" si="42"/>
        <v>16524.078728130768</v>
      </c>
      <c r="J208" s="1117">
        <f t="shared" si="42"/>
        <v>18263.45543635506</v>
      </c>
      <c r="K208" s="1320"/>
      <c r="L208" s="1000" t="str">
        <f t="shared" si="37"/>
        <v/>
      </c>
      <c r="M208" s="1118">
        <f t="shared" si="38"/>
        <v>17393.767082242914</v>
      </c>
      <c r="N208" s="976"/>
      <c r="O208" s="1119">
        <f t="shared" si="34"/>
        <v>-806.68567480189563</v>
      </c>
      <c r="P208" s="1119">
        <f t="shared" si="33"/>
        <v>834.70472044811856</v>
      </c>
      <c r="Q208" s="1119">
        <f t="shared" si="33"/>
        <v>0</v>
      </c>
      <c r="R208" s="1119">
        <f t="shared" si="33"/>
        <v>31.44541525601797</v>
      </c>
      <c r="S208" s="1119">
        <f t="shared" si="33"/>
        <v>728.26984823413966</v>
      </c>
      <c r="T208" s="1119">
        <f t="shared" si="33"/>
        <v>-95.309108646485171</v>
      </c>
      <c r="U208" s="1119">
        <f t="shared" si="33"/>
        <v>-3.5856362779786122</v>
      </c>
      <c r="V208" s="1119">
        <f t="shared" si="33"/>
        <v>-296.46925773814843</v>
      </c>
      <c r="W208" s="1119">
        <f t="shared" si="33"/>
        <v>23.392442910364515</v>
      </c>
      <c r="X208" s="978"/>
      <c r="Y208" s="1120">
        <f t="shared" si="39"/>
        <v>17809.529831627045</v>
      </c>
      <c r="Z208" s="1354"/>
      <c r="AA208" s="1001">
        <v>0.12280609776163488</v>
      </c>
      <c r="AB208" s="978"/>
      <c r="AC208" s="1036">
        <f t="shared" si="40"/>
        <v>0.12280609776163488</v>
      </c>
      <c r="AD208" s="783">
        <f t="shared" si="41"/>
        <v>0.123</v>
      </c>
      <c r="AE208" s="1321"/>
      <c r="AF208" s="1322"/>
      <c r="AG208" s="740"/>
    </row>
    <row r="209" spans="1:33">
      <c r="A209" s="96">
        <v>300585</v>
      </c>
      <c r="B209" s="1286" t="s">
        <v>284</v>
      </c>
      <c r="C209" s="782">
        <f>'TAR_Tab 2_Volumina'!N212</f>
        <v>1</v>
      </c>
      <c r="D209" s="976"/>
      <c r="E209" s="1318">
        <v>35722.02781136518</v>
      </c>
      <c r="F209" s="1116">
        <f t="shared" si="35"/>
        <v>33993.081665295103</v>
      </c>
      <c r="G209" s="1116">
        <f t="shared" si="36"/>
        <v>34787.534164485827</v>
      </c>
      <c r="H209" s="976"/>
      <c r="I209" s="1117">
        <f t="shared" si="42"/>
        <v>33048.157456261535</v>
      </c>
      <c r="J209" s="1117">
        <f t="shared" si="42"/>
        <v>36526.910872710119</v>
      </c>
      <c r="K209" s="1320"/>
      <c r="L209" s="1000" t="str">
        <f t="shared" si="37"/>
        <v/>
      </c>
      <c r="M209" s="1118">
        <f t="shared" si="38"/>
        <v>34787.534164485827</v>
      </c>
      <c r="N209" s="976"/>
      <c r="O209" s="1119">
        <f t="shared" si="34"/>
        <v>-1613.3713496037913</v>
      </c>
      <c r="P209" s="1119">
        <f t="shared" si="34"/>
        <v>1669.4094408962371</v>
      </c>
      <c r="Q209" s="1119">
        <f t="shared" si="34"/>
        <v>0</v>
      </c>
      <c r="R209" s="1119">
        <f t="shared" si="34"/>
        <v>62.89083051203594</v>
      </c>
      <c r="S209" s="1119">
        <f t="shared" si="34"/>
        <v>1456.5396964682793</v>
      </c>
      <c r="T209" s="1119">
        <f t="shared" si="34"/>
        <v>-190.61821729297034</v>
      </c>
      <c r="U209" s="1119">
        <f t="shared" si="34"/>
        <v>-7.1712725559572243</v>
      </c>
      <c r="V209" s="1119">
        <f t="shared" si="34"/>
        <v>-592.93851547629686</v>
      </c>
      <c r="W209" s="1119">
        <f t="shared" si="34"/>
        <v>46.784885820729031</v>
      </c>
      <c r="X209" s="978"/>
      <c r="Y209" s="1120">
        <f t="shared" si="39"/>
        <v>35619.059663254091</v>
      </c>
      <c r="Z209" s="1354"/>
      <c r="AA209" s="1001">
        <v>5.7004247420512882E-2</v>
      </c>
      <c r="AB209" s="978"/>
      <c r="AC209" s="1036">
        <f t="shared" si="40"/>
        <v>5.7004247420512882E-2</v>
      </c>
      <c r="AD209" s="783">
        <f t="shared" si="41"/>
        <v>5.7000000000000002E-2</v>
      </c>
      <c r="AE209" s="1321"/>
      <c r="AF209" s="1322"/>
      <c r="AG209" s="740"/>
    </row>
    <row r="210" spans="1:33">
      <c r="A210" s="96">
        <v>300587</v>
      </c>
      <c r="B210" s="1286" t="s">
        <v>153</v>
      </c>
      <c r="C210" s="782">
        <f>'TAR_Tab 2_Volumina'!N213</f>
        <v>0</v>
      </c>
      <c r="D210" s="976"/>
      <c r="E210" s="1318">
        <v>0</v>
      </c>
      <c r="F210" s="1116">
        <f t="shared" si="35"/>
        <v>0</v>
      </c>
      <c r="G210" s="1116">
        <f t="shared" si="36"/>
        <v>0</v>
      </c>
      <c r="H210" s="976"/>
      <c r="I210" s="1117">
        <f t="shared" si="42"/>
        <v>0</v>
      </c>
      <c r="J210" s="1117">
        <f t="shared" si="42"/>
        <v>0</v>
      </c>
      <c r="K210" s="1320"/>
      <c r="L210" s="1000" t="str">
        <f t="shared" si="37"/>
        <v/>
      </c>
      <c r="M210" s="1118">
        <f t="shared" si="38"/>
        <v>0</v>
      </c>
      <c r="N210" s="976"/>
      <c r="O210" s="1119">
        <f t="shared" si="34"/>
        <v>0</v>
      </c>
      <c r="P210" s="1119">
        <f t="shared" si="34"/>
        <v>0</v>
      </c>
      <c r="Q210" s="1119">
        <f t="shared" si="34"/>
        <v>0</v>
      </c>
      <c r="R210" s="1119">
        <f t="shared" si="34"/>
        <v>0</v>
      </c>
      <c r="S210" s="1119">
        <f t="shared" si="34"/>
        <v>0</v>
      </c>
      <c r="T210" s="1119">
        <f t="shared" si="34"/>
        <v>0</v>
      </c>
      <c r="U210" s="1119">
        <f t="shared" si="34"/>
        <v>0</v>
      </c>
      <c r="V210" s="1119">
        <f t="shared" si="34"/>
        <v>0</v>
      </c>
      <c r="W210" s="1119">
        <f t="shared" si="34"/>
        <v>0</v>
      </c>
      <c r="X210" s="978"/>
      <c r="Y210" s="1120">
        <f t="shared" si="39"/>
        <v>0</v>
      </c>
      <c r="Z210" s="1354"/>
      <c r="AA210" s="1001">
        <v>0</v>
      </c>
      <c r="AB210" s="978"/>
      <c r="AC210" s="1036">
        <f t="shared" si="40"/>
        <v>0</v>
      </c>
      <c r="AD210" s="783">
        <f t="shared" si="41"/>
        <v>0</v>
      </c>
      <c r="AE210" s="1321"/>
      <c r="AF210" s="1322"/>
      <c r="AG210" s="740"/>
    </row>
    <row r="211" spans="1:33">
      <c r="A211" s="96">
        <v>300591</v>
      </c>
      <c r="B211" s="1286" t="s">
        <v>285</v>
      </c>
      <c r="C211" s="782">
        <f>'TAR_Tab 2_Volumina'!N214</f>
        <v>1</v>
      </c>
      <c r="D211" s="976"/>
      <c r="E211" s="1318">
        <v>53583.041717047774</v>
      </c>
      <c r="F211" s="1116">
        <f t="shared" si="35"/>
        <v>50989.622497942662</v>
      </c>
      <c r="G211" s="1116">
        <f t="shared" si="36"/>
        <v>52181.301246728748</v>
      </c>
      <c r="H211" s="976"/>
      <c r="I211" s="1117">
        <f t="shared" si="42"/>
        <v>49572.236184392306</v>
      </c>
      <c r="J211" s="1117">
        <f t="shared" si="42"/>
        <v>54790.36630906519</v>
      </c>
      <c r="K211" s="1320"/>
      <c r="L211" s="1000" t="str">
        <f t="shared" si="37"/>
        <v/>
      </c>
      <c r="M211" s="1118">
        <f t="shared" si="38"/>
        <v>52181.301246728748</v>
      </c>
      <c r="N211" s="976"/>
      <c r="O211" s="1119">
        <f t="shared" si="34"/>
        <v>-2420.0570244056871</v>
      </c>
      <c r="P211" s="1119">
        <f t="shared" si="34"/>
        <v>2504.114161344356</v>
      </c>
      <c r="Q211" s="1119">
        <f t="shared" si="34"/>
        <v>0</v>
      </c>
      <c r="R211" s="1119">
        <f t="shared" si="34"/>
        <v>94.336245768053928</v>
      </c>
      <c r="S211" s="1119">
        <f t="shared" si="34"/>
        <v>2184.8095447024193</v>
      </c>
      <c r="T211" s="1119">
        <f t="shared" si="34"/>
        <v>-285.92732593945556</v>
      </c>
      <c r="U211" s="1119">
        <f t="shared" si="34"/>
        <v>-10.756908833935839</v>
      </c>
      <c r="V211" s="1119">
        <f t="shared" si="34"/>
        <v>-889.40777321444534</v>
      </c>
      <c r="W211" s="1119">
        <f t="shared" si="34"/>
        <v>70.177328731093553</v>
      </c>
      <c r="X211" s="978"/>
      <c r="Y211" s="1120">
        <f t="shared" si="39"/>
        <v>53428.589494881147</v>
      </c>
      <c r="Z211" s="1354"/>
      <c r="AA211" s="1001">
        <v>6.003357011608252E-2</v>
      </c>
      <c r="AB211" s="978"/>
      <c r="AC211" s="1036">
        <f t="shared" si="40"/>
        <v>6.003357011608252E-2</v>
      </c>
      <c r="AD211" s="783">
        <f t="shared" si="41"/>
        <v>0.06</v>
      </c>
      <c r="AE211" s="1321"/>
      <c r="AF211" s="1322"/>
      <c r="AG211" s="740"/>
    </row>
    <row r="212" spans="1:33">
      <c r="A212" s="96">
        <v>300592</v>
      </c>
      <c r="B212" s="1286" t="s">
        <v>286</v>
      </c>
      <c r="C212" s="782">
        <f>'TAR_Tab 2_Volumina'!N215</f>
        <v>1</v>
      </c>
      <c r="D212" s="976"/>
      <c r="E212" s="1318">
        <v>89305.069528412947</v>
      </c>
      <c r="F212" s="1116">
        <f t="shared" si="35"/>
        <v>84982.704163237766</v>
      </c>
      <c r="G212" s="1116">
        <f t="shared" si="36"/>
        <v>86968.835411214575</v>
      </c>
      <c r="H212" s="976"/>
      <c r="I212" s="1117">
        <f t="shared" si="42"/>
        <v>82620.393640653841</v>
      </c>
      <c r="J212" s="1117">
        <f t="shared" si="42"/>
        <v>91317.277181775309</v>
      </c>
      <c r="K212" s="1320"/>
      <c r="L212" s="1000" t="str">
        <f t="shared" si="37"/>
        <v/>
      </c>
      <c r="M212" s="1118">
        <f t="shared" si="38"/>
        <v>86968.835411214575</v>
      </c>
      <c r="N212" s="976"/>
      <c r="O212" s="1119">
        <f t="shared" si="34"/>
        <v>-4033.4283740094784</v>
      </c>
      <c r="P212" s="1119">
        <f t="shared" si="34"/>
        <v>4173.5236022405934</v>
      </c>
      <c r="Q212" s="1119">
        <f t="shared" si="34"/>
        <v>0</v>
      </c>
      <c r="R212" s="1119">
        <f t="shared" si="34"/>
        <v>157.22707628008988</v>
      </c>
      <c r="S212" s="1119">
        <f t="shared" si="34"/>
        <v>3641.3492411706984</v>
      </c>
      <c r="T212" s="1119">
        <f t="shared" si="34"/>
        <v>-476.54554323242587</v>
      </c>
      <c r="U212" s="1119">
        <f t="shared" si="34"/>
        <v>-17.928181389893062</v>
      </c>
      <c r="V212" s="1119">
        <f t="shared" si="34"/>
        <v>-1482.3462886907421</v>
      </c>
      <c r="W212" s="1119">
        <f t="shared" si="34"/>
        <v>116.96221455182258</v>
      </c>
      <c r="X212" s="978"/>
      <c r="Y212" s="1120">
        <f t="shared" si="39"/>
        <v>89047.649158135246</v>
      </c>
      <c r="Z212" s="1354"/>
      <c r="AA212" s="1001">
        <v>7.7724121721138434E-2</v>
      </c>
      <c r="AB212" s="978"/>
      <c r="AC212" s="1036">
        <f t="shared" si="40"/>
        <v>7.7724121721138434E-2</v>
      </c>
      <c r="AD212" s="783">
        <f t="shared" si="41"/>
        <v>7.8E-2</v>
      </c>
      <c r="AE212" s="1321"/>
      <c r="AF212" s="1322"/>
      <c r="AG212" s="740"/>
    </row>
    <row r="213" spans="1:33">
      <c r="A213" s="96">
        <v>300595</v>
      </c>
      <c r="B213" s="1286" t="s">
        <v>795</v>
      </c>
      <c r="C213" s="782">
        <f>'TAR_Tab 2_Volumina'!N216</f>
        <v>1</v>
      </c>
      <c r="D213" s="976"/>
      <c r="E213" s="1318">
        <v>17861.01390568259</v>
      </c>
      <c r="F213" s="1116">
        <f t="shared" si="35"/>
        <v>16996.540832647552</v>
      </c>
      <c r="G213" s="1116">
        <f t="shared" si="36"/>
        <v>17393.767082242914</v>
      </c>
      <c r="H213" s="976"/>
      <c r="I213" s="1117">
        <f t="shared" si="42"/>
        <v>16524.078728130768</v>
      </c>
      <c r="J213" s="1117">
        <f t="shared" si="42"/>
        <v>18263.45543635506</v>
      </c>
      <c r="K213" s="1320"/>
      <c r="L213" s="1000" t="str">
        <f t="shared" si="37"/>
        <v/>
      </c>
      <c r="M213" s="1118">
        <f t="shared" si="38"/>
        <v>17393.767082242914</v>
      </c>
      <c r="N213" s="976"/>
      <c r="O213" s="1119">
        <f t="shared" si="34"/>
        <v>-806.68567480189563</v>
      </c>
      <c r="P213" s="1119">
        <f t="shared" si="34"/>
        <v>834.70472044811856</v>
      </c>
      <c r="Q213" s="1119">
        <f t="shared" si="34"/>
        <v>0</v>
      </c>
      <c r="R213" s="1119">
        <f t="shared" si="34"/>
        <v>31.44541525601797</v>
      </c>
      <c r="S213" s="1119">
        <f t="shared" si="34"/>
        <v>728.26984823413966</v>
      </c>
      <c r="T213" s="1119">
        <f t="shared" si="34"/>
        <v>-95.309108646485171</v>
      </c>
      <c r="U213" s="1119">
        <f t="shared" si="34"/>
        <v>-3.5856362779786122</v>
      </c>
      <c r="V213" s="1119">
        <f t="shared" si="34"/>
        <v>-296.46925773814843</v>
      </c>
      <c r="W213" s="1119">
        <f t="shared" si="34"/>
        <v>23.392442910364515</v>
      </c>
      <c r="X213" s="978"/>
      <c r="Y213" s="1120">
        <f t="shared" si="39"/>
        <v>17809.529831627045</v>
      </c>
      <c r="Z213" s="1354"/>
      <c r="AA213" s="1001">
        <v>0.15528960938432382</v>
      </c>
      <c r="AB213" s="978"/>
      <c r="AC213" s="1036">
        <f t="shared" si="40"/>
        <v>0.15528960938432382</v>
      </c>
      <c r="AD213" s="783">
        <f t="shared" si="41"/>
        <v>0.155</v>
      </c>
      <c r="AE213" s="1321"/>
      <c r="AF213" s="1322"/>
      <c r="AG213" s="740"/>
    </row>
    <row r="214" spans="1:33">
      <c r="A214" s="96">
        <v>300596</v>
      </c>
      <c r="B214" s="1286" t="s">
        <v>287</v>
      </c>
      <c r="C214" s="782">
        <f>'TAR_Tab 2_Volumina'!N217</f>
        <v>1</v>
      </c>
      <c r="D214" s="976"/>
      <c r="E214" s="1318">
        <v>35722.02781136518</v>
      </c>
      <c r="F214" s="1116">
        <f t="shared" si="35"/>
        <v>33993.081665295103</v>
      </c>
      <c r="G214" s="1116">
        <f t="shared" si="36"/>
        <v>34787.534164485827</v>
      </c>
      <c r="H214" s="976"/>
      <c r="I214" s="1117">
        <f t="shared" si="42"/>
        <v>33048.157456261535</v>
      </c>
      <c r="J214" s="1117">
        <f t="shared" si="42"/>
        <v>36526.910872710119</v>
      </c>
      <c r="K214" s="1320"/>
      <c r="L214" s="1000" t="str">
        <f t="shared" si="37"/>
        <v/>
      </c>
      <c r="M214" s="1118">
        <f t="shared" si="38"/>
        <v>34787.534164485827</v>
      </c>
      <c r="N214" s="976"/>
      <c r="O214" s="1119">
        <f t="shared" si="34"/>
        <v>-1613.3713496037913</v>
      </c>
      <c r="P214" s="1119">
        <f t="shared" si="34"/>
        <v>1669.4094408962371</v>
      </c>
      <c r="Q214" s="1119">
        <f t="shared" si="34"/>
        <v>0</v>
      </c>
      <c r="R214" s="1119">
        <f t="shared" si="34"/>
        <v>62.89083051203594</v>
      </c>
      <c r="S214" s="1119">
        <f t="shared" si="34"/>
        <v>1456.5396964682793</v>
      </c>
      <c r="T214" s="1119">
        <f t="shared" si="34"/>
        <v>-190.61821729297034</v>
      </c>
      <c r="U214" s="1119">
        <f t="shared" si="34"/>
        <v>-7.1712725559572243</v>
      </c>
      <c r="V214" s="1119">
        <f t="shared" si="34"/>
        <v>-592.93851547629686</v>
      </c>
      <c r="W214" s="1119">
        <f t="shared" si="34"/>
        <v>46.784885820729031</v>
      </c>
      <c r="X214" s="978"/>
      <c r="Y214" s="1120">
        <f t="shared" si="39"/>
        <v>35619.059663254091</v>
      </c>
      <c r="Z214" s="1354"/>
      <c r="AA214" s="1001">
        <v>7.0913203179260961E-2</v>
      </c>
      <c r="AB214" s="978"/>
      <c r="AC214" s="1036">
        <f t="shared" si="40"/>
        <v>7.0913203179260961E-2</v>
      </c>
      <c r="AD214" s="783">
        <f t="shared" si="41"/>
        <v>7.0999999999999994E-2</v>
      </c>
      <c r="AE214" s="1321"/>
      <c r="AF214" s="1322"/>
      <c r="AG214" s="740"/>
    </row>
    <row r="215" spans="1:33">
      <c r="A215" s="96">
        <v>300599</v>
      </c>
      <c r="B215" s="1286" t="s">
        <v>154</v>
      </c>
      <c r="C215" s="782">
        <f>'TAR_Tab 2_Volumina'!N218</f>
        <v>0</v>
      </c>
      <c r="D215" s="976"/>
      <c r="E215" s="1318">
        <v>0</v>
      </c>
      <c r="F215" s="1116">
        <f t="shared" si="35"/>
        <v>0</v>
      </c>
      <c r="G215" s="1116">
        <f t="shared" si="36"/>
        <v>0</v>
      </c>
      <c r="H215" s="976"/>
      <c r="I215" s="1117">
        <f t="shared" si="42"/>
        <v>0</v>
      </c>
      <c r="J215" s="1117">
        <f t="shared" si="42"/>
        <v>0</v>
      </c>
      <c r="K215" s="1320"/>
      <c r="L215" s="1000" t="str">
        <f t="shared" si="37"/>
        <v/>
      </c>
      <c r="M215" s="1118">
        <f t="shared" si="38"/>
        <v>0</v>
      </c>
      <c r="N215" s="976"/>
      <c r="O215" s="1119">
        <f t="shared" si="34"/>
        <v>0</v>
      </c>
      <c r="P215" s="1119">
        <f t="shared" si="34"/>
        <v>0</v>
      </c>
      <c r="Q215" s="1119">
        <f t="shared" si="34"/>
        <v>0</v>
      </c>
      <c r="R215" s="1119">
        <f t="shared" si="34"/>
        <v>0</v>
      </c>
      <c r="S215" s="1119">
        <f t="shared" si="34"/>
        <v>0</v>
      </c>
      <c r="T215" s="1119">
        <f t="shared" si="34"/>
        <v>0</v>
      </c>
      <c r="U215" s="1119">
        <f t="shared" si="34"/>
        <v>0</v>
      </c>
      <c r="V215" s="1119">
        <f t="shared" si="34"/>
        <v>0</v>
      </c>
      <c r="W215" s="1119">
        <f t="shared" si="34"/>
        <v>0</v>
      </c>
      <c r="X215" s="978"/>
      <c r="Y215" s="1120">
        <f t="shared" si="39"/>
        <v>0</v>
      </c>
      <c r="Z215" s="1354"/>
      <c r="AA215" s="1001">
        <v>0</v>
      </c>
      <c r="AB215" s="978"/>
      <c r="AC215" s="1036">
        <f t="shared" si="40"/>
        <v>0</v>
      </c>
      <c r="AD215" s="783">
        <f t="shared" si="41"/>
        <v>0</v>
      </c>
      <c r="AE215" s="1321"/>
      <c r="AF215" s="1322"/>
      <c r="AG215" s="740"/>
    </row>
    <row r="216" spans="1:33">
      <c r="A216" s="96">
        <v>300600</v>
      </c>
      <c r="B216" s="1286" t="s">
        <v>288</v>
      </c>
      <c r="C216" s="782">
        <f>'TAR_Tab 2_Volumina'!N219</f>
        <v>1</v>
      </c>
      <c r="D216" s="976"/>
      <c r="E216" s="1318">
        <v>160749.12515114332</v>
      </c>
      <c r="F216" s="1116">
        <f t="shared" si="35"/>
        <v>152968.86749382797</v>
      </c>
      <c r="G216" s="1116">
        <f t="shared" si="36"/>
        <v>156543.90374018624</v>
      </c>
      <c r="H216" s="976"/>
      <c r="I216" s="1117">
        <f t="shared" si="42"/>
        <v>148716.70855317693</v>
      </c>
      <c r="J216" s="1117">
        <f t="shared" si="42"/>
        <v>164371.09892719556</v>
      </c>
      <c r="K216" s="1320"/>
      <c r="L216" s="1000" t="str">
        <f t="shared" si="37"/>
        <v/>
      </c>
      <c r="M216" s="1118">
        <f t="shared" si="38"/>
        <v>156543.90374018624</v>
      </c>
      <c r="N216" s="976"/>
      <c r="O216" s="1119">
        <f t="shared" si="34"/>
        <v>-7260.1710732170613</v>
      </c>
      <c r="P216" s="1119">
        <f t="shared" si="34"/>
        <v>7512.3424840330681</v>
      </c>
      <c r="Q216" s="1119">
        <f t="shared" si="34"/>
        <v>0</v>
      </c>
      <c r="R216" s="1119">
        <f t="shared" si="34"/>
        <v>283.0087373041618</v>
      </c>
      <c r="S216" s="1119">
        <f t="shared" si="34"/>
        <v>6554.4286341072575</v>
      </c>
      <c r="T216" s="1119">
        <f t="shared" si="34"/>
        <v>-857.78197781836661</v>
      </c>
      <c r="U216" s="1119">
        <f t="shared" si="34"/>
        <v>-32.270726501807516</v>
      </c>
      <c r="V216" s="1119">
        <f t="shared" si="34"/>
        <v>-2668.2233196433363</v>
      </c>
      <c r="W216" s="1119">
        <f t="shared" si="34"/>
        <v>210.53198619328066</v>
      </c>
      <c r="X216" s="978"/>
      <c r="Y216" s="1120">
        <f t="shared" si="39"/>
        <v>160285.76848464343</v>
      </c>
      <c r="Z216" s="1354"/>
      <c r="AA216" s="1001">
        <v>5.7555158421840794E-2</v>
      </c>
      <c r="AB216" s="978"/>
      <c r="AC216" s="1036">
        <f t="shared" si="40"/>
        <v>5.7555158421840794E-2</v>
      </c>
      <c r="AD216" s="783">
        <f t="shared" si="41"/>
        <v>5.8000000000000003E-2</v>
      </c>
      <c r="AE216" s="1321"/>
      <c r="AF216" s="1322"/>
      <c r="AG216" s="740"/>
    </row>
    <row r="217" spans="1:33">
      <c r="A217" s="96">
        <v>300601</v>
      </c>
      <c r="B217" s="1286" t="s">
        <v>289</v>
      </c>
      <c r="C217" s="782">
        <f>'TAR_Tab 2_Volumina'!N220</f>
        <v>1</v>
      </c>
      <c r="D217" s="976"/>
      <c r="E217" s="1318">
        <v>35722.02781136518</v>
      </c>
      <c r="F217" s="1116">
        <f t="shared" si="35"/>
        <v>33993.081665295103</v>
      </c>
      <c r="G217" s="1116">
        <f t="shared" si="36"/>
        <v>34787.534164485827</v>
      </c>
      <c r="H217" s="976"/>
      <c r="I217" s="1117">
        <f t="shared" si="42"/>
        <v>33048.157456261535</v>
      </c>
      <c r="J217" s="1117">
        <f t="shared" si="42"/>
        <v>36526.910872710119</v>
      </c>
      <c r="K217" s="1320"/>
      <c r="L217" s="1000" t="str">
        <f t="shared" si="37"/>
        <v/>
      </c>
      <c r="M217" s="1118">
        <f t="shared" si="38"/>
        <v>34787.534164485827</v>
      </c>
      <c r="N217" s="976"/>
      <c r="O217" s="1119">
        <f t="shared" si="34"/>
        <v>-1613.3713496037913</v>
      </c>
      <c r="P217" s="1119">
        <f t="shared" si="34"/>
        <v>1669.4094408962371</v>
      </c>
      <c r="Q217" s="1119">
        <f t="shared" si="34"/>
        <v>0</v>
      </c>
      <c r="R217" s="1119">
        <f t="shared" si="34"/>
        <v>62.89083051203594</v>
      </c>
      <c r="S217" s="1119">
        <f t="shared" si="34"/>
        <v>1456.5396964682793</v>
      </c>
      <c r="T217" s="1119">
        <f t="shared" si="34"/>
        <v>-190.61821729297034</v>
      </c>
      <c r="U217" s="1119">
        <f t="shared" si="34"/>
        <v>-7.1712725559572243</v>
      </c>
      <c r="V217" s="1119">
        <f t="shared" si="34"/>
        <v>-592.93851547629686</v>
      </c>
      <c r="W217" s="1119">
        <f t="shared" si="34"/>
        <v>46.784885820729031</v>
      </c>
      <c r="X217" s="978"/>
      <c r="Y217" s="1120">
        <f t="shared" si="39"/>
        <v>35619.059663254091</v>
      </c>
      <c r="Z217" s="1354"/>
      <c r="AA217" s="1001">
        <v>1.996291642204728E-2</v>
      </c>
      <c r="AB217" s="978"/>
      <c r="AC217" s="1036">
        <f t="shared" si="40"/>
        <v>1.996291642204728E-2</v>
      </c>
      <c r="AD217" s="783">
        <f t="shared" si="41"/>
        <v>0.02</v>
      </c>
      <c r="AE217" s="1321"/>
      <c r="AF217" s="1322"/>
      <c r="AG217" s="740"/>
    </row>
    <row r="218" spans="1:33">
      <c r="A218" s="96">
        <v>300603</v>
      </c>
      <c r="B218" s="1286" t="s">
        <v>155</v>
      </c>
      <c r="C218" s="782">
        <f>'TAR_Tab 2_Volumina'!N221</f>
        <v>1</v>
      </c>
      <c r="D218" s="976"/>
      <c r="E218" s="1318">
        <v>17861.01390568259</v>
      </c>
      <c r="F218" s="1116">
        <f t="shared" si="35"/>
        <v>16996.540832647552</v>
      </c>
      <c r="G218" s="1116">
        <f t="shared" si="36"/>
        <v>17393.767082242914</v>
      </c>
      <c r="H218" s="976"/>
      <c r="I218" s="1117">
        <f t="shared" si="42"/>
        <v>16524.078728130768</v>
      </c>
      <c r="J218" s="1117">
        <f t="shared" si="42"/>
        <v>18263.45543635506</v>
      </c>
      <c r="K218" s="1320"/>
      <c r="L218" s="1000" t="str">
        <f t="shared" si="37"/>
        <v/>
      </c>
      <c r="M218" s="1118">
        <f t="shared" si="38"/>
        <v>17393.767082242914</v>
      </c>
      <c r="N218" s="976"/>
      <c r="O218" s="1119">
        <f t="shared" si="34"/>
        <v>-806.68567480189563</v>
      </c>
      <c r="P218" s="1119">
        <f t="shared" si="34"/>
        <v>834.70472044811856</v>
      </c>
      <c r="Q218" s="1119">
        <f t="shared" si="34"/>
        <v>0</v>
      </c>
      <c r="R218" s="1119">
        <f t="shared" si="34"/>
        <v>31.44541525601797</v>
      </c>
      <c r="S218" s="1119">
        <f t="shared" si="34"/>
        <v>728.26984823413966</v>
      </c>
      <c r="T218" s="1119">
        <f t="shared" si="34"/>
        <v>-95.309108646485171</v>
      </c>
      <c r="U218" s="1119">
        <f t="shared" si="34"/>
        <v>-3.5856362779786122</v>
      </c>
      <c r="V218" s="1119">
        <f t="shared" si="34"/>
        <v>-296.46925773814843</v>
      </c>
      <c r="W218" s="1119">
        <f t="shared" si="34"/>
        <v>23.392442910364515</v>
      </c>
      <c r="X218" s="978"/>
      <c r="Y218" s="1120">
        <f t="shared" si="39"/>
        <v>17809.529831627045</v>
      </c>
      <c r="Z218" s="1354"/>
      <c r="AA218" s="1001">
        <v>0.33695527416204046</v>
      </c>
      <c r="AB218" s="978"/>
      <c r="AC218" s="1036">
        <f t="shared" si="40"/>
        <v>0.33695527416204046</v>
      </c>
      <c r="AD218" s="783">
        <f t="shared" si="41"/>
        <v>0.33700000000000002</v>
      </c>
      <c r="AE218" s="1321"/>
      <c r="AF218" s="1322"/>
      <c r="AG218" s="740"/>
    </row>
    <row r="219" spans="1:33">
      <c r="A219" s="96">
        <v>300606</v>
      </c>
      <c r="B219" s="1286" t="s">
        <v>156</v>
      </c>
      <c r="C219" s="782">
        <f>'TAR_Tab 2_Volumina'!N222</f>
        <v>0</v>
      </c>
      <c r="D219" s="976"/>
      <c r="E219" s="1318">
        <v>0</v>
      </c>
      <c r="F219" s="1116">
        <f t="shared" si="35"/>
        <v>0</v>
      </c>
      <c r="G219" s="1116">
        <f t="shared" si="36"/>
        <v>0</v>
      </c>
      <c r="H219" s="976"/>
      <c r="I219" s="1117">
        <f t="shared" si="42"/>
        <v>0</v>
      </c>
      <c r="J219" s="1117">
        <f t="shared" si="42"/>
        <v>0</v>
      </c>
      <c r="K219" s="1320"/>
      <c r="L219" s="1000" t="str">
        <f t="shared" si="37"/>
        <v/>
      </c>
      <c r="M219" s="1118">
        <f t="shared" si="38"/>
        <v>0</v>
      </c>
      <c r="N219" s="976"/>
      <c r="O219" s="1119">
        <f t="shared" si="34"/>
        <v>0</v>
      </c>
      <c r="P219" s="1119">
        <f t="shared" si="34"/>
        <v>0</v>
      </c>
      <c r="Q219" s="1119">
        <f t="shared" si="34"/>
        <v>0</v>
      </c>
      <c r="R219" s="1119">
        <f t="shared" si="34"/>
        <v>0</v>
      </c>
      <c r="S219" s="1119">
        <f t="shared" si="34"/>
        <v>0</v>
      </c>
      <c r="T219" s="1119">
        <f t="shared" si="34"/>
        <v>0</v>
      </c>
      <c r="U219" s="1119">
        <f t="shared" si="34"/>
        <v>0</v>
      </c>
      <c r="V219" s="1119">
        <f t="shared" si="34"/>
        <v>0</v>
      </c>
      <c r="W219" s="1119">
        <f t="shared" si="34"/>
        <v>0</v>
      </c>
      <c r="X219" s="978"/>
      <c r="Y219" s="1120">
        <f t="shared" si="39"/>
        <v>0</v>
      </c>
      <c r="Z219" s="1354"/>
      <c r="AA219" s="1001">
        <v>0</v>
      </c>
      <c r="AB219" s="978"/>
      <c r="AC219" s="1036">
        <f t="shared" si="40"/>
        <v>0</v>
      </c>
      <c r="AD219" s="783">
        <f t="shared" si="41"/>
        <v>0</v>
      </c>
      <c r="AE219" s="1321"/>
      <c r="AF219" s="1322"/>
      <c r="AG219" s="740"/>
    </row>
    <row r="220" spans="1:33">
      <c r="A220" s="96">
        <v>300611</v>
      </c>
      <c r="B220" s="1286" t="s">
        <v>379</v>
      </c>
      <c r="C220" s="782">
        <f>'TAR_Tab 2_Volumina'!N223</f>
        <v>0</v>
      </c>
      <c r="D220" s="976"/>
      <c r="E220" s="1318">
        <v>0</v>
      </c>
      <c r="F220" s="1116">
        <f t="shared" si="35"/>
        <v>0</v>
      </c>
      <c r="G220" s="1116">
        <f t="shared" si="36"/>
        <v>0</v>
      </c>
      <c r="H220" s="976"/>
      <c r="I220" s="1117">
        <f t="shared" si="42"/>
        <v>0</v>
      </c>
      <c r="J220" s="1117">
        <f t="shared" si="42"/>
        <v>0</v>
      </c>
      <c r="K220" s="1320"/>
      <c r="L220" s="1000" t="str">
        <f t="shared" si="37"/>
        <v/>
      </c>
      <c r="M220" s="1118">
        <f t="shared" si="38"/>
        <v>0</v>
      </c>
      <c r="N220" s="976"/>
      <c r="O220" s="1119">
        <f t="shared" si="34"/>
        <v>0</v>
      </c>
      <c r="P220" s="1119">
        <f t="shared" si="34"/>
        <v>0</v>
      </c>
      <c r="Q220" s="1119">
        <f t="shared" si="34"/>
        <v>0</v>
      </c>
      <c r="R220" s="1119">
        <f t="shared" si="34"/>
        <v>0</v>
      </c>
      <c r="S220" s="1119">
        <f t="shared" si="34"/>
        <v>0</v>
      </c>
      <c r="T220" s="1119">
        <f t="shared" si="34"/>
        <v>0</v>
      </c>
      <c r="U220" s="1119">
        <f t="shared" si="34"/>
        <v>0</v>
      </c>
      <c r="V220" s="1119">
        <f t="shared" si="34"/>
        <v>0</v>
      </c>
      <c r="W220" s="1119">
        <f t="shared" si="34"/>
        <v>0</v>
      </c>
      <c r="X220" s="978"/>
      <c r="Y220" s="1120">
        <f t="shared" si="39"/>
        <v>0</v>
      </c>
      <c r="Z220" s="1354"/>
      <c r="AA220" s="1001">
        <v>0</v>
      </c>
      <c r="AB220" s="978"/>
      <c r="AC220" s="1036">
        <f t="shared" si="40"/>
        <v>0</v>
      </c>
      <c r="AD220" s="783">
        <f t="shared" si="41"/>
        <v>0</v>
      </c>
      <c r="AE220" s="1321"/>
      <c r="AF220" s="1322"/>
      <c r="AG220" s="740"/>
    </row>
    <row r="221" spans="1:33">
      <c r="A221" s="96">
        <v>300617</v>
      </c>
      <c r="B221" s="1286" t="s">
        <v>796</v>
      </c>
      <c r="C221" s="782">
        <f>'TAR_Tab 2_Volumina'!N224</f>
        <v>0</v>
      </c>
      <c r="D221" s="976"/>
      <c r="E221" s="1318">
        <v>0</v>
      </c>
      <c r="F221" s="1116">
        <f t="shared" si="35"/>
        <v>0</v>
      </c>
      <c r="G221" s="1116">
        <f t="shared" si="36"/>
        <v>0</v>
      </c>
      <c r="H221" s="976"/>
      <c r="I221" s="1117">
        <f t="shared" si="42"/>
        <v>0</v>
      </c>
      <c r="J221" s="1117">
        <f t="shared" si="42"/>
        <v>0</v>
      </c>
      <c r="K221" s="1320"/>
      <c r="L221" s="1000" t="str">
        <f t="shared" si="37"/>
        <v/>
      </c>
      <c r="M221" s="1118">
        <f t="shared" si="38"/>
        <v>0</v>
      </c>
      <c r="N221" s="976"/>
      <c r="O221" s="1119">
        <f t="shared" si="34"/>
        <v>0</v>
      </c>
      <c r="P221" s="1119">
        <f t="shared" si="34"/>
        <v>0</v>
      </c>
      <c r="Q221" s="1119">
        <f t="shared" si="34"/>
        <v>0</v>
      </c>
      <c r="R221" s="1119">
        <f t="shared" si="34"/>
        <v>0</v>
      </c>
      <c r="S221" s="1119">
        <f t="shared" si="34"/>
        <v>0</v>
      </c>
      <c r="T221" s="1119">
        <f t="shared" si="34"/>
        <v>0</v>
      </c>
      <c r="U221" s="1119">
        <f t="shared" si="34"/>
        <v>0</v>
      </c>
      <c r="V221" s="1119">
        <f t="shared" si="34"/>
        <v>0</v>
      </c>
      <c r="W221" s="1119">
        <f t="shared" si="34"/>
        <v>0</v>
      </c>
      <c r="X221" s="978"/>
      <c r="Y221" s="1120">
        <f t="shared" si="39"/>
        <v>0</v>
      </c>
      <c r="Z221" s="1354"/>
      <c r="AA221" s="1001">
        <v>0</v>
      </c>
      <c r="AB221" s="978"/>
      <c r="AC221" s="1036">
        <f t="shared" si="40"/>
        <v>0</v>
      </c>
      <c r="AD221" s="783">
        <f t="shared" si="41"/>
        <v>0</v>
      </c>
      <c r="AE221" s="1321"/>
      <c r="AF221" s="1322"/>
      <c r="AG221" s="740"/>
    </row>
    <row r="222" spans="1:33">
      <c r="A222" s="96">
        <v>300620</v>
      </c>
      <c r="B222" s="1286" t="s">
        <v>1200</v>
      </c>
      <c r="C222" s="782">
        <f>'TAR_Tab 2_Volumina'!N225</f>
        <v>0</v>
      </c>
      <c r="D222" s="976"/>
      <c r="E222" s="1318">
        <v>0</v>
      </c>
      <c r="F222" s="1116">
        <f t="shared" si="35"/>
        <v>0</v>
      </c>
      <c r="G222" s="1116">
        <f t="shared" si="36"/>
        <v>0</v>
      </c>
      <c r="H222" s="976"/>
      <c r="I222" s="1117">
        <f t="shared" si="42"/>
        <v>0</v>
      </c>
      <c r="J222" s="1117">
        <f t="shared" si="42"/>
        <v>0</v>
      </c>
      <c r="K222" s="1320"/>
      <c r="L222" s="1000" t="str">
        <f t="shared" si="37"/>
        <v/>
      </c>
      <c r="M222" s="1118">
        <f t="shared" si="38"/>
        <v>0</v>
      </c>
      <c r="N222" s="976"/>
      <c r="O222" s="1119">
        <f t="shared" si="34"/>
        <v>0</v>
      </c>
      <c r="P222" s="1119">
        <f t="shared" si="34"/>
        <v>0</v>
      </c>
      <c r="Q222" s="1119">
        <f t="shared" si="34"/>
        <v>0</v>
      </c>
      <c r="R222" s="1119">
        <f t="shared" si="34"/>
        <v>0</v>
      </c>
      <c r="S222" s="1119">
        <f t="shared" si="34"/>
        <v>0</v>
      </c>
      <c r="T222" s="1119">
        <f t="shared" si="34"/>
        <v>0</v>
      </c>
      <c r="U222" s="1119">
        <f t="shared" si="34"/>
        <v>0</v>
      </c>
      <c r="V222" s="1119">
        <f t="shared" si="34"/>
        <v>0</v>
      </c>
      <c r="W222" s="1119">
        <f t="shared" si="34"/>
        <v>0</v>
      </c>
      <c r="X222" s="978"/>
      <c r="Y222" s="1120">
        <f t="shared" si="39"/>
        <v>0</v>
      </c>
      <c r="Z222" s="1354"/>
      <c r="AA222" s="1001">
        <v>0</v>
      </c>
      <c r="AB222" s="978"/>
      <c r="AC222" s="1036">
        <f t="shared" si="40"/>
        <v>0</v>
      </c>
      <c r="AD222" s="783">
        <f t="shared" si="41"/>
        <v>0</v>
      </c>
      <c r="AE222" s="1321"/>
      <c r="AF222" s="1322"/>
      <c r="AG222" s="740"/>
    </row>
    <row r="223" spans="1:33">
      <c r="A223" s="96">
        <v>300622</v>
      </c>
      <c r="B223" s="1286" t="s">
        <v>157</v>
      </c>
      <c r="C223" s="782">
        <f>'TAR_Tab 2_Volumina'!N226</f>
        <v>0</v>
      </c>
      <c r="D223" s="976"/>
      <c r="E223" s="1318">
        <v>0</v>
      </c>
      <c r="F223" s="1116">
        <f t="shared" si="35"/>
        <v>0</v>
      </c>
      <c r="G223" s="1116">
        <f t="shared" si="36"/>
        <v>0</v>
      </c>
      <c r="H223" s="976"/>
      <c r="I223" s="1117">
        <f t="shared" si="42"/>
        <v>0</v>
      </c>
      <c r="J223" s="1117">
        <f t="shared" si="42"/>
        <v>0</v>
      </c>
      <c r="K223" s="1320"/>
      <c r="L223" s="1000" t="str">
        <f t="shared" si="37"/>
        <v/>
      </c>
      <c r="M223" s="1118">
        <f t="shared" si="38"/>
        <v>0</v>
      </c>
      <c r="N223" s="976"/>
      <c r="O223" s="1119">
        <f t="shared" si="34"/>
        <v>0</v>
      </c>
      <c r="P223" s="1119">
        <f t="shared" si="34"/>
        <v>0</v>
      </c>
      <c r="Q223" s="1119">
        <f t="shared" si="34"/>
        <v>0</v>
      </c>
      <c r="R223" s="1119">
        <f t="shared" si="34"/>
        <v>0</v>
      </c>
      <c r="S223" s="1119">
        <f t="shared" si="34"/>
        <v>0</v>
      </c>
      <c r="T223" s="1119">
        <f t="shared" si="34"/>
        <v>0</v>
      </c>
      <c r="U223" s="1119">
        <f t="shared" si="34"/>
        <v>0</v>
      </c>
      <c r="V223" s="1119">
        <f t="shared" si="34"/>
        <v>0</v>
      </c>
      <c r="W223" s="1119">
        <f t="shared" si="34"/>
        <v>0</v>
      </c>
      <c r="X223" s="978"/>
      <c r="Y223" s="1120">
        <f t="shared" si="39"/>
        <v>0</v>
      </c>
      <c r="Z223" s="1354"/>
      <c r="AA223" s="1001">
        <v>0</v>
      </c>
      <c r="AB223" s="978"/>
      <c r="AC223" s="1036">
        <f t="shared" si="40"/>
        <v>0</v>
      </c>
      <c r="AD223" s="783">
        <f t="shared" si="41"/>
        <v>0</v>
      </c>
      <c r="AE223" s="1321"/>
      <c r="AF223" s="1322"/>
      <c r="AG223" s="740"/>
    </row>
    <row r="224" spans="1:33">
      <c r="A224" s="96">
        <v>300634</v>
      </c>
      <c r="B224" s="1286" t="s">
        <v>158</v>
      </c>
      <c r="C224" s="782">
        <f>'TAR_Tab 2_Volumina'!N227</f>
        <v>1</v>
      </c>
      <c r="D224" s="976"/>
      <c r="E224" s="1318">
        <v>17861.01390568259</v>
      </c>
      <c r="F224" s="1116">
        <f t="shared" si="35"/>
        <v>16996.540832647552</v>
      </c>
      <c r="G224" s="1116">
        <f t="shared" si="36"/>
        <v>17393.767082242914</v>
      </c>
      <c r="H224" s="976"/>
      <c r="I224" s="1117">
        <f t="shared" si="42"/>
        <v>16524.078728130768</v>
      </c>
      <c r="J224" s="1117">
        <f t="shared" si="42"/>
        <v>18263.45543635506</v>
      </c>
      <c r="K224" s="1320"/>
      <c r="L224" s="1000" t="str">
        <f t="shared" si="37"/>
        <v/>
      </c>
      <c r="M224" s="1118">
        <f t="shared" si="38"/>
        <v>17393.767082242914</v>
      </c>
      <c r="N224" s="976"/>
      <c r="O224" s="1119">
        <f t="shared" si="34"/>
        <v>-806.68567480189563</v>
      </c>
      <c r="P224" s="1119">
        <f t="shared" si="34"/>
        <v>834.70472044811856</v>
      </c>
      <c r="Q224" s="1119">
        <f t="shared" si="34"/>
        <v>0</v>
      </c>
      <c r="R224" s="1119">
        <f t="shared" si="34"/>
        <v>31.44541525601797</v>
      </c>
      <c r="S224" s="1119">
        <f t="shared" si="34"/>
        <v>728.26984823413966</v>
      </c>
      <c r="T224" s="1119">
        <f t="shared" si="34"/>
        <v>-95.309108646485171</v>
      </c>
      <c r="U224" s="1119">
        <f t="shared" si="34"/>
        <v>-3.5856362779786122</v>
      </c>
      <c r="V224" s="1119">
        <f t="shared" si="34"/>
        <v>-296.46925773814843</v>
      </c>
      <c r="W224" s="1119">
        <f t="shared" si="34"/>
        <v>23.392442910364515</v>
      </c>
      <c r="X224" s="978"/>
      <c r="Y224" s="1120">
        <f t="shared" si="39"/>
        <v>17809.529831627045</v>
      </c>
      <c r="Z224" s="1354"/>
      <c r="AA224" s="1001">
        <v>0.22599679820703575</v>
      </c>
      <c r="AB224" s="978"/>
      <c r="AC224" s="1036">
        <f t="shared" si="40"/>
        <v>0.22599679820703575</v>
      </c>
      <c r="AD224" s="783">
        <f t="shared" si="41"/>
        <v>0.22600000000000001</v>
      </c>
      <c r="AE224" s="1321"/>
      <c r="AF224" s="1322"/>
      <c r="AG224" s="740"/>
    </row>
    <row r="225" spans="1:33">
      <c r="A225" s="96">
        <v>300637</v>
      </c>
      <c r="B225" s="1286" t="s">
        <v>159</v>
      </c>
      <c r="C225" s="782">
        <f>'TAR_Tab 2_Volumina'!N228</f>
        <v>1</v>
      </c>
      <c r="D225" s="976"/>
      <c r="E225" s="1318">
        <v>17861.01390568259</v>
      </c>
      <c r="F225" s="1116">
        <f t="shared" si="35"/>
        <v>16996.540832647552</v>
      </c>
      <c r="G225" s="1116">
        <f t="shared" si="36"/>
        <v>17393.767082242914</v>
      </c>
      <c r="H225" s="976"/>
      <c r="I225" s="1117">
        <f t="shared" si="42"/>
        <v>16524.078728130768</v>
      </c>
      <c r="J225" s="1117">
        <f t="shared" si="42"/>
        <v>18263.45543635506</v>
      </c>
      <c r="K225" s="1320"/>
      <c r="L225" s="1000" t="str">
        <f t="shared" si="37"/>
        <v/>
      </c>
      <c r="M225" s="1118">
        <f t="shared" si="38"/>
        <v>17393.767082242914</v>
      </c>
      <c r="N225" s="976"/>
      <c r="O225" s="1119">
        <f t="shared" si="34"/>
        <v>-806.68567480189563</v>
      </c>
      <c r="P225" s="1119">
        <f t="shared" si="34"/>
        <v>834.70472044811856</v>
      </c>
      <c r="Q225" s="1119">
        <f t="shared" si="34"/>
        <v>0</v>
      </c>
      <c r="R225" s="1119">
        <f t="shared" si="34"/>
        <v>31.44541525601797</v>
      </c>
      <c r="S225" s="1119">
        <f t="shared" si="34"/>
        <v>728.26984823413966</v>
      </c>
      <c r="T225" s="1119">
        <f t="shared" si="34"/>
        <v>-95.309108646485171</v>
      </c>
      <c r="U225" s="1119">
        <f t="shared" si="34"/>
        <v>-3.5856362779786122</v>
      </c>
      <c r="V225" s="1119">
        <f t="shared" si="34"/>
        <v>-296.46925773814843</v>
      </c>
      <c r="W225" s="1119">
        <f t="shared" si="34"/>
        <v>23.392442910364515</v>
      </c>
      <c r="X225" s="978"/>
      <c r="Y225" s="1120">
        <f t="shared" si="39"/>
        <v>17809.529831627045</v>
      </c>
      <c r="Z225" s="1354"/>
      <c r="AA225" s="1001">
        <v>0.86608545353552735</v>
      </c>
      <c r="AB225" s="978"/>
      <c r="AC225" s="1036">
        <f t="shared" si="40"/>
        <v>0.86608545353552735</v>
      </c>
      <c r="AD225" s="783">
        <f t="shared" si="41"/>
        <v>0.86599999999999999</v>
      </c>
      <c r="AE225" s="1321"/>
      <c r="AF225" s="1322"/>
      <c r="AG225" s="740"/>
    </row>
    <row r="226" spans="1:33">
      <c r="A226" s="96">
        <v>300638</v>
      </c>
      <c r="B226" s="1286" t="s">
        <v>380</v>
      </c>
      <c r="C226" s="782">
        <f>'TAR_Tab 2_Volumina'!N229</f>
        <v>0</v>
      </c>
      <c r="D226" s="976"/>
      <c r="E226" s="1318">
        <v>0</v>
      </c>
      <c r="F226" s="1116">
        <f t="shared" si="35"/>
        <v>0</v>
      </c>
      <c r="G226" s="1116">
        <f t="shared" si="36"/>
        <v>0</v>
      </c>
      <c r="H226" s="976"/>
      <c r="I226" s="1117">
        <f t="shared" si="42"/>
        <v>0</v>
      </c>
      <c r="J226" s="1117">
        <f t="shared" si="42"/>
        <v>0</v>
      </c>
      <c r="K226" s="1320"/>
      <c r="L226" s="1000" t="str">
        <f t="shared" si="37"/>
        <v/>
      </c>
      <c r="M226" s="1118">
        <f t="shared" si="38"/>
        <v>0</v>
      </c>
      <c r="N226" s="976"/>
      <c r="O226" s="1119">
        <f t="shared" si="34"/>
        <v>0</v>
      </c>
      <c r="P226" s="1119">
        <f t="shared" si="34"/>
        <v>0</v>
      </c>
      <c r="Q226" s="1119">
        <f t="shared" si="34"/>
        <v>0</v>
      </c>
      <c r="R226" s="1119">
        <f t="shared" si="34"/>
        <v>0</v>
      </c>
      <c r="S226" s="1119">
        <f t="shared" si="34"/>
        <v>0</v>
      </c>
      <c r="T226" s="1119">
        <f t="shared" si="34"/>
        <v>0</v>
      </c>
      <c r="U226" s="1119">
        <f t="shared" si="34"/>
        <v>0</v>
      </c>
      <c r="V226" s="1119">
        <f t="shared" si="34"/>
        <v>0</v>
      </c>
      <c r="W226" s="1119">
        <f t="shared" si="34"/>
        <v>0</v>
      </c>
      <c r="X226" s="978"/>
      <c r="Y226" s="1120">
        <f t="shared" si="39"/>
        <v>0</v>
      </c>
      <c r="Z226" s="1354"/>
      <c r="AA226" s="1001">
        <v>0</v>
      </c>
      <c r="AB226" s="978"/>
      <c r="AC226" s="1036">
        <f t="shared" si="40"/>
        <v>0</v>
      </c>
      <c r="AD226" s="783">
        <f t="shared" si="41"/>
        <v>0</v>
      </c>
      <c r="AE226" s="1321"/>
      <c r="AF226" s="1322"/>
      <c r="AG226" s="740"/>
    </row>
    <row r="227" spans="1:33">
      <c r="A227" s="96">
        <v>300639</v>
      </c>
      <c r="B227" s="1286" t="s">
        <v>160</v>
      </c>
      <c r="C227" s="782">
        <f>'TAR_Tab 2_Volumina'!N230</f>
        <v>1</v>
      </c>
      <c r="D227" s="976"/>
      <c r="E227" s="1318">
        <v>17861.01390568259</v>
      </c>
      <c r="F227" s="1116">
        <f t="shared" si="35"/>
        <v>16996.540832647552</v>
      </c>
      <c r="G227" s="1116">
        <f t="shared" si="36"/>
        <v>17393.767082242914</v>
      </c>
      <c r="H227" s="976"/>
      <c r="I227" s="1117">
        <f t="shared" si="42"/>
        <v>16524.078728130768</v>
      </c>
      <c r="J227" s="1117">
        <f t="shared" si="42"/>
        <v>18263.45543635506</v>
      </c>
      <c r="K227" s="1320"/>
      <c r="L227" s="1000" t="str">
        <f t="shared" si="37"/>
        <v/>
      </c>
      <c r="M227" s="1118">
        <f t="shared" si="38"/>
        <v>17393.767082242914</v>
      </c>
      <c r="N227" s="976"/>
      <c r="O227" s="1119">
        <f t="shared" si="34"/>
        <v>-806.68567480189563</v>
      </c>
      <c r="P227" s="1119">
        <f t="shared" si="34"/>
        <v>834.70472044811856</v>
      </c>
      <c r="Q227" s="1119">
        <f t="shared" si="34"/>
        <v>0</v>
      </c>
      <c r="R227" s="1119">
        <f t="shared" si="34"/>
        <v>31.44541525601797</v>
      </c>
      <c r="S227" s="1119">
        <f t="shared" si="34"/>
        <v>728.26984823413966</v>
      </c>
      <c r="T227" s="1119">
        <f t="shared" si="34"/>
        <v>-95.309108646485171</v>
      </c>
      <c r="U227" s="1119">
        <f t="shared" si="34"/>
        <v>-3.5856362779786122</v>
      </c>
      <c r="V227" s="1119">
        <f t="shared" si="34"/>
        <v>-296.46925773814843</v>
      </c>
      <c r="W227" s="1119">
        <f t="shared" si="34"/>
        <v>23.392442910364515</v>
      </c>
      <c r="X227" s="978"/>
      <c r="Y227" s="1120">
        <f t="shared" si="39"/>
        <v>17809.529831627045</v>
      </c>
      <c r="Z227" s="1354"/>
      <c r="AA227" s="1001">
        <v>0.1326474480765272</v>
      </c>
      <c r="AB227" s="978"/>
      <c r="AC227" s="1036">
        <f t="shared" si="40"/>
        <v>0.1326474480765272</v>
      </c>
      <c r="AD227" s="783">
        <f t="shared" si="41"/>
        <v>0.13300000000000001</v>
      </c>
      <c r="AE227" s="1321"/>
      <c r="AF227" s="1322"/>
      <c r="AG227" s="740"/>
    </row>
    <row r="228" spans="1:33">
      <c r="A228" s="96">
        <v>300640</v>
      </c>
      <c r="B228" s="1286" t="s">
        <v>161</v>
      </c>
      <c r="C228" s="782">
        <f>'TAR_Tab 2_Volumina'!N231</f>
        <v>0</v>
      </c>
      <c r="D228" s="976"/>
      <c r="E228" s="1318">
        <v>0</v>
      </c>
      <c r="F228" s="1116">
        <f t="shared" si="35"/>
        <v>0</v>
      </c>
      <c r="G228" s="1116">
        <f t="shared" si="36"/>
        <v>0</v>
      </c>
      <c r="H228" s="976"/>
      <c r="I228" s="1117">
        <f t="shared" si="42"/>
        <v>0</v>
      </c>
      <c r="J228" s="1117">
        <f t="shared" si="42"/>
        <v>0</v>
      </c>
      <c r="K228" s="1320"/>
      <c r="L228" s="1000" t="str">
        <f t="shared" si="37"/>
        <v/>
      </c>
      <c r="M228" s="1118">
        <f t="shared" si="38"/>
        <v>0</v>
      </c>
      <c r="N228" s="976"/>
      <c r="O228" s="1119">
        <f t="shared" si="34"/>
        <v>0</v>
      </c>
      <c r="P228" s="1119">
        <f t="shared" si="34"/>
        <v>0</v>
      </c>
      <c r="Q228" s="1119">
        <f t="shared" si="34"/>
        <v>0</v>
      </c>
      <c r="R228" s="1119">
        <f t="shared" si="34"/>
        <v>0</v>
      </c>
      <c r="S228" s="1119">
        <f t="shared" si="34"/>
        <v>0</v>
      </c>
      <c r="T228" s="1119">
        <f t="shared" si="34"/>
        <v>0</v>
      </c>
      <c r="U228" s="1119">
        <f t="shared" si="34"/>
        <v>0</v>
      </c>
      <c r="V228" s="1119">
        <f t="shared" si="34"/>
        <v>0</v>
      </c>
      <c r="W228" s="1119">
        <f t="shared" si="34"/>
        <v>0</v>
      </c>
      <c r="X228" s="978"/>
      <c r="Y228" s="1120">
        <f t="shared" si="39"/>
        <v>0</v>
      </c>
      <c r="Z228" s="1354"/>
      <c r="AA228" s="1001">
        <v>0</v>
      </c>
      <c r="AB228" s="978"/>
      <c r="AC228" s="1036">
        <f t="shared" si="40"/>
        <v>0</v>
      </c>
      <c r="AD228" s="783">
        <f t="shared" si="41"/>
        <v>0</v>
      </c>
      <c r="AE228" s="1321"/>
      <c r="AF228" s="1322"/>
      <c r="AG228" s="740"/>
    </row>
    <row r="229" spans="1:33">
      <c r="A229" s="96">
        <v>300642</v>
      </c>
      <c r="B229" s="1286" t="s">
        <v>162</v>
      </c>
      <c r="C229" s="782">
        <f>'TAR_Tab 2_Volumina'!N232</f>
        <v>1</v>
      </c>
      <c r="D229" s="976"/>
      <c r="E229" s="1318">
        <v>17861.01390568259</v>
      </c>
      <c r="F229" s="1116">
        <f t="shared" si="35"/>
        <v>16996.540832647552</v>
      </c>
      <c r="G229" s="1116">
        <f t="shared" si="36"/>
        <v>17393.767082242914</v>
      </c>
      <c r="H229" s="976"/>
      <c r="I229" s="1117">
        <f t="shared" si="42"/>
        <v>16524.078728130768</v>
      </c>
      <c r="J229" s="1117">
        <f t="shared" si="42"/>
        <v>18263.45543635506</v>
      </c>
      <c r="K229" s="1320"/>
      <c r="L229" s="1000" t="str">
        <f t="shared" si="37"/>
        <v/>
      </c>
      <c r="M229" s="1118">
        <f t="shared" si="38"/>
        <v>17393.767082242914</v>
      </c>
      <c r="N229" s="976"/>
      <c r="O229" s="1119">
        <f t="shared" si="34"/>
        <v>-806.68567480189563</v>
      </c>
      <c r="P229" s="1119">
        <f t="shared" si="34"/>
        <v>834.70472044811856</v>
      </c>
      <c r="Q229" s="1119">
        <f t="shared" si="34"/>
        <v>0</v>
      </c>
      <c r="R229" s="1119">
        <f t="shared" si="34"/>
        <v>31.44541525601797</v>
      </c>
      <c r="S229" s="1119">
        <f t="shared" si="34"/>
        <v>728.26984823413966</v>
      </c>
      <c r="T229" s="1119">
        <f t="shared" si="34"/>
        <v>-95.309108646485171</v>
      </c>
      <c r="U229" s="1119">
        <f t="shared" si="34"/>
        <v>-3.5856362779786122</v>
      </c>
      <c r="V229" s="1119">
        <f t="shared" si="34"/>
        <v>-296.46925773814843</v>
      </c>
      <c r="W229" s="1119">
        <f t="shared" si="34"/>
        <v>23.392442910364515</v>
      </c>
      <c r="X229" s="978"/>
      <c r="Y229" s="1120">
        <f t="shared" si="39"/>
        <v>17809.529831627045</v>
      </c>
      <c r="Z229" s="1354"/>
      <c r="AA229" s="1001">
        <v>4.6667604730231023E-2</v>
      </c>
      <c r="AB229" s="978"/>
      <c r="AC229" s="1036">
        <f t="shared" si="40"/>
        <v>4.6667604730231023E-2</v>
      </c>
      <c r="AD229" s="783">
        <f t="shared" si="41"/>
        <v>4.7E-2</v>
      </c>
      <c r="AE229" s="1321"/>
      <c r="AF229" s="1322"/>
      <c r="AG229" s="740"/>
    </row>
    <row r="230" spans="1:33">
      <c r="A230" s="96">
        <v>300644</v>
      </c>
      <c r="B230" s="1286" t="s">
        <v>381</v>
      </c>
      <c r="C230" s="782">
        <f>'TAR_Tab 2_Volumina'!N233</f>
        <v>0</v>
      </c>
      <c r="D230" s="976"/>
      <c r="E230" s="1318">
        <v>0</v>
      </c>
      <c r="F230" s="1116">
        <f t="shared" si="35"/>
        <v>0</v>
      </c>
      <c r="G230" s="1116">
        <f t="shared" si="36"/>
        <v>0</v>
      </c>
      <c r="H230" s="976"/>
      <c r="I230" s="1117">
        <f t="shared" si="42"/>
        <v>0</v>
      </c>
      <c r="J230" s="1117">
        <f t="shared" si="42"/>
        <v>0</v>
      </c>
      <c r="K230" s="1320"/>
      <c r="L230" s="1000" t="str">
        <f t="shared" si="37"/>
        <v/>
      </c>
      <c r="M230" s="1118">
        <f t="shared" si="38"/>
        <v>0</v>
      </c>
      <c r="N230" s="976"/>
      <c r="O230" s="1119">
        <f t="shared" si="34"/>
        <v>0</v>
      </c>
      <c r="P230" s="1119">
        <f t="shared" si="34"/>
        <v>0</v>
      </c>
      <c r="Q230" s="1119">
        <f t="shared" si="34"/>
        <v>0</v>
      </c>
      <c r="R230" s="1119">
        <f t="shared" si="34"/>
        <v>0</v>
      </c>
      <c r="S230" s="1119">
        <f t="shared" si="34"/>
        <v>0</v>
      </c>
      <c r="T230" s="1119">
        <f t="shared" si="34"/>
        <v>0</v>
      </c>
      <c r="U230" s="1119">
        <f t="shared" si="34"/>
        <v>0</v>
      </c>
      <c r="V230" s="1119">
        <f t="shared" si="34"/>
        <v>0</v>
      </c>
      <c r="W230" s="1119">
        <f t="shared" si="34"/>
        <v>0</v>
      </c>
      <c r="X230" s="978"/>
      <c r="Y230" s="1120">
        <f t="shared" si="39"/>
        <v>0</v>
      </c>
      <c r="Z230" s="1354"/>
      <c r="AA230" s="1001">
        <v>0</v>
      </c>
      <c r="AB230" s="978"/>
      <c r="AC230" s="1036">
        <f t="shared" si="40"/>
        <v>0</v>
      </c>
      <c r="AD230" s="783">
        <f t="shared" si="41"/>
        <v>0</v>
      </c>
      <c r="AE230" s="1321"/>
      <c r="AF230" s="1322"/>
      <c r="AG230" s="740"/>
    </row>
    <row r="231" spans="1:33">
      <c r="A231" s="96">
        <v>300645</v>
      </c>
      <c r="B231" s="1286" t="s">
        <v>163</v>
      </c>
      <c r="C231" s="782">
        <f>'TAR_Tab 2_Volumina'!N234</f>
        <v>0</v>
      </c>
      <c r="D231" s="976"/>
      <c r="E231" s="1318">
        <v>0</v>
      </c>
      <c r="F231" s="1116">
        <f t="shared" si="35"/>
        <v>0</v>
      </c>
      <c r="G231" s="1116">
        <f t="shared" si="36"/>
        <v>0</v>
      </c>
      <c r="H231" s="976"/>
      <c r="I231" s="1117">
        <f t="shared" si="42"/>
        <v>0</v>
      </c>
      <c r="J231" s="1117">
        <f t="shared" si="42"/>
        <v>0</v>
      </c>
      <c r="K231" s="1320"/>
      <c r="L231" s="1000" t="str">
        <f t="shared" si="37"/>
        <v/>
      </c>
      <c r="M231" s="1118">
        <f t="shared" si="38"/>
        <v>0</v>
      </c>
      <c r="N231" s="976"/>
      <c r="O231" s="1119">
        <f t="shared" si="34"/>
        <v>0</v>
      </c>
      <c r="P231" s="1119">
        <f t="shared" si="34"/>
        <v>0</v>
      </c>
      <c r="Q231" s="1119">
        <f t="shared" si="34"/>
        <v>0</v>
      </c>
      <c r="R231" s="1119">
        <f t="shared" si="34"/>
        <v>0</v>
      </c>
      <c r="S231" s="1119">
        <f t="shared" si="34"/>
        <v>0</v>
      </c>
      <c r="T231" s="1119">
        <f t="shared" si="34"/>
        <v>0</v>
      </c>
      <c r="U231" s="1119">
        <f t="shared" si="34"/>
        <v>0</v>
      </c>
      <c r="V231" s="1119">
        <f t="shared" si="34"/>
        <v>0</v>
      </c>
      <c r="W231" s="1119">
        <f t="shared" si="34"/>
        <v>0</v>
      </c>
      <c r="X231" s="978"/>
      <c r="Y231" s="1120">
        <f t="shared" si="39"/>
        <v>0</v>
      </c>
      <c r="Z231" s="1354"/>
      <c r="AA231" s="1001">
        <v>0</v>
      </c>
      <c r="AB231" s="978"/>
      <c r="AC231" s="1036">
        <f t="shared" si="40"/>
        <v>0</v>
      </c>
      <c r="AD231" s="783">
        <f t="shared" si="41"/>
        <v>0</v>
      </c>
      <c r="AE231" s="1321"/>
      <c r="AF231" s="1322"/>
      <c r="AG231" s="740"/>
    </row>
    <row r="232" spans="1:33">
      <c r="A232" s="96">
        <v>300648</v>
      </c>
      <c r="B232" s="1286" t="s">
        <v>164</v>
      </c>
      <c r="C232" s="782">
        <f>'TAR_Tab 2_Volumina'!N235</f>
        <v>0</v>
      </c>
      <c r="D232" s="976"/>
      <c r="E232" s="1318">
        <v>0</v>
      </c>
      <c r="F232" s="1116">
        <f t="shared" si="35"/>
        <v>0</v>
      </c>
      <c r="G232" s="1116">
        <f t="shared" si="36"/>
        <v>0</v>
      </c>
      <c r="H232" s="976"/>
      <c r="I232" s="1117">
        <f t="shared" si="42"/>
        <v>0</v>
      </c>
      <c r="J232" s="1117">
        <f t="shared" si="42"/>
        <v>0</v>
      </c>
      <c r="K232" s="1320"/>
      <c r="L232" s="1000" t="str">
        <f t="shared" si="37"/>
        <v/>
      </c>
      <c r="M232" s="1118">
        <f t="shared" si="38"/>
        <v>0</v>
      </c>
      <c r="N232" s="976"/>
      <c r="O232" s="1119">
        <f t="shared" si="34"/>
        <v>0</v>
      </c>
      <c r="P232" s="1119">
        <f t="shared" si="34"/>
        <v>0</v>
      </c>
      <c r="Q232" s="1119">
        <f t="shared" si="34"/>
        <v>0</v>
      </c>
      <c r="R232" s="1119">
        <f t="shared" si="34"/>
        <v>0</v>
      </c>
      <c r="S232" s="1119">
        <f t="shared" si="34"/>
        <v>0</v>
      </c>
      <c r="T232" s="1119">
        <f t="shared" si="34"/>
        <v>0</v>
      </c>
      <c r="U232" s="1119">
        <f t="shared" si="34"/>
        <v>0</v>
      </c>
      <c r="V232" s="1119">
        <f t="shared" si="34"/>
        <v>0</v>
      </c>
      <c r="W232" s="1119">
        <f t="shared" si="34"/>
        <v>0</v>
      </c>
      <c r="X232" s="978"/>
      <c r="Y232" s="1120">
        <f t="shared" si="39"/>
        <v>0</v>
      </c>
      <c r="Z232" s="1354"/>
      <c r="AA232" s="1001">
        <v>0</v>
      </c>
      <c r="AB232" s="978"/>
      <c r="AC232" s="1036">
        <f t="shared" si="40"/>
        <v>0</v>
      </c>
      <c r="AD232" s="783">
        <f t="shared" si="41"/>
        <v>0</v>
      </c>
      <c r="AE232" s="1321"/>
      <c r="AF232" s="1322"/>
      <c r="AG232" s="740"/>
    </row>
    <row r="233" spans="1:33">
      <c r="A233" s="96">
        <v>300649</v>
      </c>
      <c r="B233" s="1286" t="s">
        <v>165</v>
      </c>
      <c r="C233" s="782">
        <f>'TAR_Tab 2_Volumina'!N236</f>
        <v>0</v>
      </c>
      <c r="D233" s="976"/>
      <c r="E233" s="1318">
        <v>0</v>
      </c>
      <c r="F233" s="1116">
        <f t="shared" si="35"/>
        <v>0</v>
      </c>
      <c r="G233" s="1116">
        <f t="shared" si="36"/>
        <v>0</v>
      </c>
      <c r="H233" s="976"/>
      <c r="I233" s="1117">
        <f t="shared" si="42"/>
        <v>0</v>
      </c>
      <c r="J233" s="1117">
        <f t="shared" si="42"/>
        <v>0</v>
      </c>
      <c r="K233" s="1320"/>
      <c r="L233" s="1000" t="str">
        <f t="shared" si="37"/>
        <v/>
      </c>
      <c r="M233" s="1118">
        <f t="shared" si="38"/>
        <v>0</v>
      </c>
      <c r="N233" s="976"/>
      <c r="O233" s="1119">
        <f t="shared" si="34"/>
        <v>0</v>
      </c>
      <c r="P233" s="1119">
        <f t="shared" si="34"/>
        <v>0</v>
      </c>
      <c r="Q233" s="1119">
        <f t="shared" si="34"/>
        <v>0</v>
      </c>
      <c r="R233" s="1119">
        <f t="shared" si="34"/>
        <v>0</v>
      </c>
      <c r="S233" s="1119">
        <f t="shared" si="34"/>
        <v>0</v>
      </c>
      <c r="T233" s="1119">
        <f t="shared" si="34"/>
        <v>0</v>
      </c>
      <c r="U233" s="1119">
        <f t="shared" si="34"/>
        <v>0</v>
      </c>
      <c r="V233" s="1119">
        <f t="shared" si="34"/>
        <v>0</v>
      </c>
      <c r="W233" s="1119">
        <f t="shared" ref="P233:W265" si="43">$M233*W$5</f>
        <v>0</v>
      </c>
      <c r="X233" s="978"/>
      <c r="Y233" s="1120">
        <f t="shared" si="39"/>
        <v>0</v>
      </c>
      <c r="Z233" s="1354"/>
      <c r="AA233" s="1001">
        <v>0</v>
      </c>
      <c r="AB233" s="978"/>
      <c r="AC233" s="1036">
        <f t="shared" si="40"/>
        <v>0</v>
      </c>
      <c r="AD233" s="783">
        <f t="shared" si="41"/>
        <v>0</v>
      </c>
      <c r="AE233" s="1321"/>
      <c r="AF233" s="1322"/>
      <c r="AG233" s="740"/>
    </row>
    <row r="234" spans="1:33">
      <c r="A234" s="96">
        <v>300650</v>
      </c>
      <c r="B234" s="1286" t="s">
        <v>166</v>
      </c>
      <c r="C234" s="782">
        <f>'TAR_Tab 2_Volumina'!N237</f>
        <v>1</v>
      </c>
      <c r="D234" s="976"/>
      <c r="E234" s="1318">
        <v>17861.01390568259</v>
      </c>
      <c r="F234" s="1116">
        <f t="shared" si="35"/>
        <v>16996.540832647552</v>
      </c>
      <c r="G234" s="1116">
        <f t="shared" si="36"/>
        <v>17393.767082242914</v>
      </c>
      <c r="H234" s="976"/>
      <c r="I234" s="1117">
        <f t="shared" si="42"/>
        <v>16524.078728130768</v>
      </c>
      <c r="J234" s="1117">
        <f t="shared" si="42"/>
        <v>18263.45543635506</v>
      </c>
      <c r="K234" s="1320"/>
      <c r="L234" s="1000" t="str">
        <f t="shared" si="37"/>
        <v/>
      </c>
      <c r="M234" s="1118">
        <f t="shared" si="38"/>
        <v>17393.767082242914</v>
      </c>
      <c r="N234" s="976"/>
      <c r="O234" s="1119">
        <f t="shared" ref="O234:O297" si="44">$M234*O$5</f>
        <v>-806.68567480189563</v>
      </c>
      <c r="P234" s="1119">
        <f t="shared" si="43"/>
        <v>834.70472044811856</v>
      </c>
      <c r="Q234" s="1119">
        <f t="shared" si="43"/>
        <v>0</v>
      </c>
      <c r="R234" s="1119">
        <f t="shared" si="43"/>
        <v>31.44541525601797</v>
      </c>
      <c r="S234" s="1119">
        <f t="shared" si="43"/>
        <v>728.26984823413966</v>
      </c>
      <c r="T234" s="1119">
        <f t="shared" si="43"/>
        <v>-95.309108646485171</v>
      </c>
      <c r="U234" s="1119">
        <f t="shared" si="43"/>
        <v>-3.5856362779786122</v>
      </c>
      <c r="V234" s="1119">
        <f t="shared" si="43"/>
        <v>-296.46925773814843</v>
      </c>
      <c r="W234" s="1119">
        <f t="shared" si="43"/>
        <v>23.392442910364515</v>
      </c>
      <c r="X234" s="978"/>
      <c r="Y234" s="1120">
        <f t="shared" si="39"/>
        <v>17809.529831627045</v>
      </c>
      <c r="Z234" s="1354"/>
      <c r="AA234" s="1001">
        <v>0.31645405000777294</v>
      </c>
      <c r="AB234" s="978"/>
      <c r="AC234" s="1036">
        <f t="shared" si="40"/>
        <v>0.31645405000777294</v>
      </c>
      <c r="AD234" s="783">
        <f t="shared" si="41"/>
        <v>0.316</v>
      </c>
      <c r="AE234" s="1321"/>
      <c r="AF234" s="1322"/>
      <c r="AG234" s="740"/>
    </row>
    <row r="235" spans="1:33">
      <c r="A235" s="96">
        <v>300651</v>
      </c>
      <c r="B235" s="1286" t="s">
        <v>167</v>
      </c>
      <c r="C235" s="782">
        <f>'TAR_Tab 2_Volumina'!N238</f>
        <v>1</v>
      </c>
      <c r="D235" s="976"/>
      <c r="E235" s="1318">
        <v>17861.01390568259</v>
      </c>
      <c r="F235" s="1116">
        <f t="shared" si="35"/>
        <v>16996.540832647552</v>
      </c>
      <c r="G235" s="1116">
        <f t="shared" si="36"/>
        <v>17393.767082242914</v>
      </c>
      <c r="H235" s="976"/>
      <c r="I235" s="1117">
        <f t="shared" si="42"/>
        <v>16524.078728130768</v>
      </c>
      <c r="J235" s="1117">
        <f t="shared" si="42"/>
        <v>18263.45543635506</v>
      </c>
      <c r="K235" s="1320"/>
      <c r="L235" s="1000" t="str">
        <f t="shared" si="37"/>
        <v/>
      </c>
      <c r="M235" s="1118">
        <f t="shared" si="38"/>
        <v>17393.767082242914</v>
      </c>
      <c r="N235" s="976"/>
      <c r="O235" s="1119">
        <f t="shared" si="44"/>
        <v>-806.68567480189563</v>
      </c>
      <c r="P235" s="1119">
        <f t="shared" si="43"/>
        <v>834.70472044811856</v>
      </c>
      <c r="Q235" s="1119">
        <f t="shared" si="43"/>
        <v>0</v>
      </c>
      <c r="R235" s="1119">
        <f t="shared" si="43"/>
        <v>31.44541525601797</v>
      </c>
      <c r="S235" s="1119">
        <f t="shared" si="43"/>
        <v>728.26984823413966</v>
      </c>
      <c r="T235" s="1119">
        <f t="shared" si="43"/>
        <v>-95.309108646485171</v>
      </c>
      <c r="U235" s="1119">
        <f t="shared" si="43"/>
        <v>-3.5856362779786122</v>
      </c>
      <c r="V235" s="1119">
        <f t="shared" si="43"/>
        <v>-296.46925773814843</v>
      </c>
      <c r="W235" s="1119">
        <f t="shared" si="43"/>
        <v>23.392442910364515</v>
      </c>
      <c r="X235" s="978"/>
      <c r="Y235" s="1120">
        <f t="shared" si="39"/>
        <v>17809.529831627045</v>
      </c>
      <c r="Z235" s="1354"/>
      <c r="AA235" s="1001">
        <v>8.0388058890104322E-2</v>
      </c>
      <c r="AB235" s="978"/>
      <c r="AC235" s="1036">
        <f t="shared" si="40"/>
        <v>8.0388058890104322E-2</v>
      </c>
      <c r="AD235" s="783">
        <f t="shared" si="41"/>
        <v>0.08</v>
      </c>
      <c r="AE235" s="1321"/>
      <c r="AF235" s="1322"/>
      <c r="AG235" s="740"/>
    </row>
    <row r="236" spans="1:33">
      <c r="A236" s="96">
        <v>300652</v>
      </c>
      <c r="B236" s="1286" t="s">
        <v>168</v>
      </c>
      <c r="C236" s="782">
        <f>'TAR_Tab 2_Volumina'!N239</f>
        <v>1</v>
      </c>
      <c r="D236" s="976"/>
      <c r="E236" s="1318">
        <v>17861.01390568259</v>
      </c>
      <c r="F236" s="1116">
        <f t="shared" si="35"/>
        <v>16996.540832647552</v>
      </c>
      <c r="G236" s="1116">
        <f t="shared" si="36"/>
        <v>17393.767082242914</v>
      </c>
      <c r="H236" s="976"/>
      <c r="I236" s="1117">
        <f t="shared" si="42"/>
        <v>16524.078728130768</v>
      </c>
      <c r="J236" s="1117">
        <f t="shared" si="42"/>
        <v>18263.45543635506</v>
      </c>
      <c r="K236" s="1320"/>
      <c r="L236" s="1000" t="str">
        <f t="shared" si="37"/>
        <v/>
      </c>
      <c r="M236" s="1118">
        <f t="shared" si="38"/>
        <v>17393.767082242914</v>
      </c>
      <c r="N236" s="976"/>
      <c r="O236" s="1119">
        <f t="shared" si="44"/>
        <v>-806.68567480189563</v>
      </c>
      <c r="P236" s="1119">
        <f t="shared" si="43"/>
        <v>834.70472044811856</v>
      </c>
      <c r="Q236" s="1119">
        <f t="shared" si="43"/>
        <v>0</v>
      </c>
      <c r="R236" s="1119">
        <f t="shared" si="43"/>
        <v>31.44541525601797</v>
      </c>
      <c r="S236" s="1119">
        <f t="shared" si="43"/>
        <v>728.26984823413966</v>
      </c>
      <c r="T236" s="1119">
        <f t="shared" si="43"/>
        <v>-95.309108646485171</v>
      </c>
      <c r="U236" s="1119">
        <f t="shared" si="43"/>
        <v>-3.5856362779786122</v>
      </c>
      <c r="V236" s="1119">
        <f t="shared" si="43"/>
        <v>-296.46925773814843</v>
      </c>
      <c r="W236" s="1119">
        <f t="shared" si="43"/>
        <v>23.392442910364515</v>
      </c>
      <c r="X236" s="978"/>
      <c r="Y236" s="1120">
        <f t="shared" si="39"/>
        <v>17809.529831627045</v>
      </c>
      <c r="Z236" s="1354"/>
      <c r="AA236" s="1001">
        <v>0.45556213839162613</v>
      </c>
      <c r="AB236" s="978"/>
      <c r="AC236" s="1036">
        <f t="shared" si="40"/>
        <v>0.45556213839162613</v>
      </c>
      <c r="AD236" s="783">
        <f t="shared" si="41"/>
        <v>0.45600000000000002</v>
      </c>
      <c r="AE236" s="1321"/>
      <c r="AF236" s="1322"/>
      <c r="AG236" s="740"/>
    </row>
    <row r="237" spans="1:33">
      <c r="A237" s="96">
        <v>300655</v>
      </c>
      <c r="B237" s="1286" t="s">
        <v>290</v>
      </c>
      <c r="C237" s="782">
        <f>'TAR_Tab 2_Volumina'!N240</f>
        <v>1</v>
      </c>
      <c r="D237" s="976"/>
      <c r="E237" s="1318">
        <v>35722.02781136518</v>
      </c>
      <c r="F237" s="1116">
        <f t="shared" si="35"/>
        <v>33993.081665295103</v>
      </c>
      <c r="G237" s="1116">
        <f t="shared" si="36"/>
        <v>34787.534164485827</v>
      </c>
      <c r="H237" s="976"/>
      <c r="I237" s="1117">
        <f t="shared" si="42"/>
        <v>33048.157456261535</v>
      </c>
      <c r="J237" s="1117">
        <f t="shared" si="42"/>
        <v>36526.910872710119</v>
      </c>
      <c r="K237" s="1320"/>
      <c r="L237" s="1000" t="str">
        <f t="shared" si="37"/>
        <v/>
      </c>
      <c r="M237" s="1118">
        <f t="shared" si="38"/>
        <v>34787.534164485827</v>
      </c>
      <c r="N237" s="976"/>
      <c r="O237" s="1119">
        <f t="shared" si="44"/>
        <v>-1613.3713496037913</v>
      </c>
      <c r="P237" s="1119">
        <f t="shared" si="43"/>
        <v>1669.4094408962371</v>
      </c>
      <c r="Q237" s="1119">
        <f t="shared" si="43"/>
        <v>0</v>
      </c>
      <c r="R237" s="1119">
        <f t="shared" si="43"/>
        <v>62.89083051203594</v>
      </c>
      <c r="S237" s="1119">
        <f t="shared" si="43"/>
        <v>1456.5396964682793</v>
      </c>
      <c r="T237" s="1119">
        <f t="shared" si="43"/>
        <v>-190.61821729297034</v>
      </c>
      <c r="U237" s="1119">
        <f t="shared" si="43"/>
        <v>-7.1712725559572243</v>
      </c>
      <c r="V237" s="1119">
        <f t="shared" si="43"/>
        <v>-592.93851547629686</v>
      </c>
      <c r="W237" s="1119">
        <f t="shared" si="43"/>
        <v>46.784885820729031</v>
      </c>
      <c r="X237" s="978"/>
      <c r="Y237" s="1120">
        <f t="shared" si="39"/>
        <v>35619.059663254091</v>
      </c>
      <c r="Z237" s="1354"/>
      <c r="AA237" s="1001">
        <v>0.10515746358952463</v>
      </c>
      <c r="AB237" s="978"/>
      <c r="AC237" s="1036">
        <f t="shared" si="40"/>
        <v>0.10515746358952463</v>
      </c>
      <c r="AD237" s="783">
        <f t="shared" si="41"/>
        <v>0.105</v>
      </c>
      <c r="AE237" s="1321"/>
      <c r="AF237" s="1322"/>
      <c r="AG237" s="740"/>
    </row>
    <row r="238" spans="1:33">
      <c r="A238" s="96">
        <v>300662</v>
      </c>
      <c r="B238" s="1286" t="s">
        <v>291</v>
      </c>
      <c r="C238" s="782">
        <f>'TAR_Tab 2_Volumina'!N241</f>
        <v>1</v>
      </c>
      <c r="D238" s="976"/>
      <c r="E238" s="1318">
        <v>35722.02781136518</v>
      </c>
      <c r="F238" s="1116">
        <f t="shared" si="35"/>
        <v>33993.081665295103</v>
      </c>
      <c r="G238" s="1116">
        <f t="shared" si="36"/>
        <v>34787.534164485827</v>
      </c>
      <c r="H238" s="976"/>
      <c r="I238" s="1117">
        <f t="shared" si="42"/>
        <v>33048.157456261535</v>
      </c>
      <c r="J238" s="1117">
        <f t="shared" si="42"/>
        <v>36526.910872710119</v>
      </c>
      <c r="K238" s="1320"/>
      <c r="L238" s="1000" t="str">
        <f t="shared" si="37"/>
        <v/>
      </c>
      <c r="M238" s="1118">
        <f t="shared" si="38"/>
        <v>34787.534164485827</v>
      </c>
      <c r="N238" s="976"/>
      <c r="O238" s="1119">
        <f t="shared" si="44"/>
        <v>-1613.3713496037913</v>
      </c>
      <c r="P238" s="1119">
        <f t="shared" si="43"/>
        <v>1669.4094408962371</v>
      </c>
      <c r="Q238" s="1119">
        <f t="shared" si="43"/>
        <v>0</v>
      </c>
      <c r="R238" s="1119">
        <f t="shared" si="43"/>
        <v>62.89083051203594</v>
      </c>
      <c r="S238" s="1119">
        <f t="shared" si="43"/>
        <v>1456.5396964682793</v>
      </c>
      <c r="T238" s="1119">
        <f t="shared" si="43"/>
        <v>-190.61821729297034</v>
      </c>
      <c r="U238" s="1119">
        <f t="shared" si="43"/>
        <v>-7.1712725559572243</v>
      </c>
      <c r="V238" s="1119">
        <f t="shared" si="43"/>
        <v>-592.93851547629686</v>
      </c>
      <c r="W238" s="1119">
        <f t="shared" si="43"/>
        <v>46.784885820729031</v>
      </c>
      <c r="X238" s="978"/>
      <c r="Y238" s="1120">
        <f t="shared" si="39"/>
        <v>35619.059663254091</v>
      </c>
      <c r="Z238" s="1354"/>
      <c r="AA238" s="1001">
        <v>5.0784226413650484E-2</v>
      </c>
      <c r="AB238" s="978"/>
      <c r="AC238" s="1036">
        <f t="shared" si="40"/>
        <v>5.0784226413650484E-2</v>
      </c>
      <c r="AD238" s="783">
        <f t="shared" si="41"/>
        <v>5.0999999999999997E-2</v>
      </c>
      <c r="AE238" s="1321"/>
      <c r="AF238" s="1322"/>
      <c r="AG238" s="740"/>
    </row>
    <row r="239" spans="1:33">
      <c r="A239" s="96">
        <v>300663</v>
      </c>
      <c r="B239" s="1286" t="s">
        <v>797</v>
      </c>
      <c r="C239" s="782">
        <f>'TAR_Tab 2_Volumina'!N242</f>
        <v>0</v>
      </c>
      <c r="D239" s="976"/>
      <c r="E239" s="1318">
        <v>0</v>
      </c>
      <c r="F239" s="1116">
        <f t="shared" si="35"/>
        <v>0</v>
      </c>
      <c r="G239" s="1116">
        <f t="shared" si="36"/>
        <v>0</v>
      </c>
      <c r="H239" s="976"/>
      <c r="I239" s="1117">
        <f t="shared" si="42"/>
        <v>0</v>
      </c>
      <c r="J239" s="1117">
        <f t="shared" si="42"/>
        <v>0</v>
      </c>
      <c r="K239" s="1320"/>
      <c r="L239" s="1000" t="str">
        <f t="shared" si="37"/>
        <v/>
      </c>
      <c r="M239" s="1118">
        <f t="shared" si="38"/>
        <v>0</v>
      </c>
      <c r="N239" s="976"/>
      <c r="O239" s="1119">
        <f t="shared" si="44"/>
        <v>0</v>
      </c>
      <c r="P239" s="1119">
        <f t="shared" si="43"/>
        <v>0</v>
      </c>
      <c r="Q239" s="1119">
        <f t="shared" si="43"/>
        <v>0</v>
      </c>
      <c r="R239" s="1119">
        <f t="shared" si="43"/>
        <v>0</v>
      </c>
      <c r="S239" s="1119">
        <f t="shared" si="43"/>
        <v>0</v>
      </c>
      <c r="T239" s="1119">
        <f t="shared" si="43"/>
        <v>0</v>
      </c>
      <c r="U239" s="1119">
        <f t="shared" si="43"/>
        <v>0</v>
      </c>
      <c r="V239" s="1119">
        <f t="shared" si="43"/>
        <v>0</v>
      </c>
      <c r="W239" s="1119">
        <f t="shared" si="43"/>
        <v>0</v>
      </c>
      <c r="X239" s="978"/>
      <c r="Y239" s="1120">
        <f t="shared" si="39"/>
        <v>0</v>
      </c>
      <c r="Z239" s="1354"/>
      <c r="AA239" s="1001">
        <v>0</v>
      </c>
      <c r="AB239" s="978"/>
      <c r="AC239" s="1036">
        <f t="shared" si="40"/>
        <v>0</v>
      </c>
      <c r="AD239" s="783">
        <f t="shared" si="41"/>
        <v>0</v>
      </c>
      <c r="AE239" s="1321"/>
      <c r="AF239" s="1322"/>
      <c r="AG239" s="740"/>
    </row>
    <row r="240" spans="1:33">
      <c r="A240" s="96">
        <v>300664</v>
      </c>
      <c r="B240" s="1286" t="s">
        <v>169</v>
      </c>
      <c r="C240" s="782">
        <f>'TAR_Tab 2_Volumina'!N243</f>
        <v>0</v>
      </c>
      <c r="D240" s="976"/>
      <c r="E240" s="1318">
        <v>0</v>
      </c>
      <c r="F240" s="1116">
        <f t="shared" si="35"/>
        <v>0</v>
      </c>
      <c r="G240" s="1116">
        <f t="shared" si="36"/>
        <v>0</v>
      </c>
      <c r="H240" s="976"/>
      <c r="I240" s="1117">
        <f t="shared" si="42"/>
        <v>0</v>
      </c>
      <c r="J240" s="1117">
        <f t="shared" si="42"/>
        <v>0</v>
      </c>
      <c r="K240" s="1320"/>
      <c r="L240" s="1000" t="str">
        <f t="shared" si="37"/>
        <v/>
      </c>
      <c r="M240" s="1118">
        <f t="shared" si="38"/>
        <v>0</v>
      </c>
      <c r="N240" s="976"/>
      <c r="O240" s="1119">
        <f t="shared" si="44"/>
        <v>0</v>
      </c>
      <c r="P240" s="1119">
        <f t="shared" si="43"/>
        <v>0</v>
      </c>
      <c r="Q240" s="1119">
        <f t="shared" si="43"/>
        <v>0</v>
      </c>
      <c r="R240" s="1119">
        <f t="shared" si="43"/>
        <v>0</v>
      </c>
      <c r="S240" s="1119">
        <f t="shared" si="43"/>
        <v>0</v>
      </c>
      <c r="T240" s="1119">
        <f t="shared" si="43"/>
        <v>0</v>
      </c>
      <c r="U240" s="1119">
        <f t="shared" si="43"/>
        <v>0</v>
      </c>
      <c r="V240" s="1119">
        <f t="shared" si="43"/>
        <v>0</v>
      </c>
      <c r="W240" s="1119">
        <f t="shared" si="43"/>
        <v>0</v>
      </c>
      <c r="X240" s="978"/>
      <c r="Y240" s="1120">
        <f t="shared" si="39"/>
        <v>0</v>
      </c>
      <c r="Z240" s="1354"/>
      <c r="AA240" s="1001">
        <v>0</v>
      </c>
      <c r="AB240" s="978"/>
      <c r="AC240" s="1036">
        <f t="shared" si="40"/>
        <v>0</v>
      </c>
      <c r="AD240" s="783">
        <f t="shared" si="41"/>
        <v>0</v>
      </c>
      <c r="AE240" s="1321"/>
      <c r="AF240" s="1322"/>
      <c r="AG240" s="740"/>
    </row>
    <row r="241" spans="1:33">
      <c r="A241" s="96">
        <v>300665</v>
      </c>
      <c r="B241" s="1286" t="s">
        <v>798</v>
      </c>
      <c r="C241" s="782">
        <f>'TAR_Tab 2_Volumina'!N244</f>
        <v>0</v>
      </c>
      <c r="D241" s="976"/>
      <c r="E241" s="1318">
        <v>0</v>
      </c>
      <c r="F241" s="1116">
        <f t="shared" si="35"/>
        <v>0</v>
      </c>
      <c r="G241" s="1116">
        <f t="shared" si="36"/>
        <v>0</v>
      </c>
      <c r="H241" s="976"/>
      <c r="I241" s="1117">
        <f t="shared" si="42"/>
        <v>0</v>
      </c>
      <c r="J241" s="1117">
        <f t="shared" si="42"/>
        <v>0</v>
      </c>
      <c r="K241" s="1320"/>
      <c r="L241" s="1000" t="str">
        <f t="shared" si="37"/>
        <v/>
      </c>
      <c r="M241" s="1118">
        <f t="shared" si="38"/>
        <v>0</v>
      </c>
      <c r="N241" s="976"/>
      <c r="O241" s="1119">
        <f t="shared" si="44"/>
        <v>0</v>
      </c>
      <c r="P241" s="1119">
        <f t="shared" si="43"/>
        <v>0</v>
      </c>
      <c r="Q241" s="1119">
        <f t="shared" si="43"/>
        <v>0</v>
      </c>
      <c r="R241" s="1119">
        <f t="shared" si="43"/>
        <v>0</v>
      </c>
      <c r="S241" s="1119">
        <f t="shared" si="43"/>
        <v>0</v>
      </c>
      <c r="T241" s="1119">
        <f t="shared" si="43"/>
        <v>0</v>
      </c>
      <c r="U241" s="1119">
        <f t="shared" si="43"/>
        <v>0</v>
      </c>
      <c r="V241" s="1119">
        <f t="shared" si="43"/>
        <v>0</v>
      </c>
      <c r="W241" s="1119">
        <f t="shared" si="43"/>
        <v>0</v>
      </c>
      <c r="X241" s="978"/>
      <c r="Y241" s="1120">
        <f t="shared" si="39"/>
        <v>0</v>
      </c>
      <c r="Z241" s="1354"/>
      <c r="AA241" s="1001">
        <v>0</v>
      </c>
      <c r="AB241" s="978"/>
      <c r="AC241" s="1036">
        <f t="shared" si="40"/>
        <v>0</v>
      </c>
      <c r="AD241" s="783">
        <f t="shared" si="41"/>
        <v>0</v>
      </c>
      <c r="AE241" s="1321"/>
      <c r="AF241" s="1322"/>
      <c r="AG241" s="740"/>
    </row>
    <row r="242" spans="1:33">
      <c r="A242" s="96">
        <v>300669</v>
      </c>
      <c r="B242" s="1286" t="s">
        <v>292</v>
      </c>
      <c r="C242" s="782">
        <f>'TAR_Tab 2_Volumina'!N245</f>
        <v>1</v>
      </c>
      <c r="D242" s="976"/>
      <c r="E242" s="1318">
        <v>125027.09733977813</v>
      </c>
      <c r="F242" s="1116">
        <f t="shared" si="35"/>
        <v>118975.78582853287</v>
      </c>
      <c r="G242" s="1116">
        <f t="shared" si="36"/>
        <v>121756.3695757004</v>
      </c>
      <c r="H242" s="976"/>
      <c r="I242" s="1117">
        <f t="shared" si="42"/>
        <v>115668.55109691538</v>
      </c>
      <c r="J242" s="1117">
        <f t="shared" si="42"/>
        <v>127844.18805448542</v>
      </c>
      <c r="K242" s="1320"/>
      <c r="L242" s="1000" t="str">
        <f t="shared" si="37"/>
        <v/>
      </c>
      <c r="M242" s="1118">
        <f t="shared" si="38"/>
        <v>121756.3695757004</v>
      </c>
      <c r="N242" s="976"/>
      <c r="O242" s="1119">
        <f t="shared" si="44"/>
        <v>-5646.7997236132696</v>
      </c>
      <c r="P242" s="1119">
        <f t="shared" si="43"/>
        <v>5842.9330431368307</v>
      </c>
      <c r="Q242" s="1119">
        <f t="shared" si="43"/>
        <v>0</v>
      </c>
      <c r="R242" s="1119">
        <f t="shared" si="43"/>
        <v>220.11790679212581</v>
      </c>
      <c r="S242" s="1119">
        <f t="shared" si="43"/>
        <v>5097.8889376389779</v>
      </c>
      <c r="T242" s="1119">
        <f t="shared" si="43"/>
        <v>-667.16376052539624</v>
      </c>
      <c r="U242" s="1119">
        <f t="shared" si="43"/>
        <v>-25.099453945850289</v>
      </c>
      <c r="V242" s="1119">
        <f t="shared" si="43"/>
        <v>-2075.2848041670391</v>
      </c>
      <c r="W242" s="1119">
        <f t="shared" si="43"/>
        <v>163.74710037255161</v>
      </c>
      <c r="X242" s="978"/>
      <c r="Y242" s="1120">
        <f t="shared" si="39"/>
        <v>124666.70882138933</v>
      </c>
      <c r="Z242" s="1354"/>
      <c r="AA242" s="1001">
        <v>3.5530899935149164E-2</v>
      </c>
      <c r="AB242" s="978"/>
      <c r="AC242" s="1036">
        <f t="shared" si="40"/>
        <v>3.5530899935149164E-2</v>
      </c>
      <c r="AD242" s="783">
        <f t="shared" si="41"/>
        <v>3.5999999999999997E-2</v>
      </c>
      <c r="AE242" s="1321"/>
      <c r="AF242" s="1322"/>
      <c r="AG242" s="740"/>
    </row>
    <row r="243" spans="1:33">
      <c r="A243" s="96">
        <v>300670</v>
      </c>
      <c r="B243" s="1286" t="s">
        <v>170</v>
      </c>
      <c r="C243" s="782">
        <f>'TAR_Tab 2_Volumina'!N246</f>
        <v>1</v>
      </c>
      <c r="D243" s="976"/>
      <c r="E243" s="1318">
        <v>17861.01390568259</v>
      </c>
      <c r="F243" s="1116">
        <f t="shared" si="35"/>
        <v>16996.540832647552</v>
      </c>
      <c r="G243" s="1116">
        <f t="shared" si="36"/>
        <v>17393.767082242914</v>
      </c>
      <c r="H243" s="976"/>
      <c r="I243" s="1117">
        <f t="shared" si="42"/>
        <v>16524.078728130768</v>
      </c>
      <c r="J243" s="1117">
        <f t="shared" si="42"/>
        <v>18263.45543635506</v>
      </c>
      <c r="K243" s="1320"/>
      <c r="L243" s="1000" t="str">
        <f t="shared" si="37"/>
        <v/>
      </c>
      <c r="M243" s="1118">
        <f t="shared" si="38"/>
        <v>17393.767082242914</v>
      </c>
      <c r="N243" s="976"/>
      <c r="O243" s="1119">
        <f t="shared" si="44"/>
        <v>-806.68567480189563</v>
      </c>
      <c r="P243" s="1119">
        <f t="shared" si="43"/>
        <v>834.70472044811856</v>
      </c>
      <c r="Q243" s="1119">
        <f t="shared" si="43"/>
        <v>0</v>
      </c>
      <c r="R243" s="1119">
        <f t="shared" si="43"/>
        <v>31.44541525601797</v>
      </c>
      <c r="S243" s="1119">
        <f t="shared" si="43"/>
        <v>728.26984823413966</v>
      </c>
      <c r="T243" s="1119">
        <f t="shared" si="43"/>
        <v>-95.309108646485171</v>
      </c>
      <c r="U243" s="1119">
        <f t="shared" si="43"/>
        <v>-3.5856362779786122</v>
      </c>
      <c r="V243" s="1119">
        <f t="shared" si="43"/>
        <v>-296.46925773814843</v>
      </c>
      <c r="W243" s="1119">
        <f t="shared" si="43"/>
        <v>23.392442910364515</v>
      </c>
      <c r="X243" s="978"/>
      <c r="Y243" s="1120">
        <f t="shared" si="39"/>
        <v>17809.529831627045</v>
      </c>
      <c r="Z243" s="1354"/>
      <c r="AA243" s="1001">
        <v>3.0345023804173881</v>
      </c>
      <c r="AB243" s="978"/>
      <c r="AC243" s="1036">
        <f t="shared" si="40"/>
        <v>3.0345023804173881</v>
      </c>
      <c r="AD243" s="783">
        <f t="shared" si="41"/>
        <v>3.0350000000000001</v>
      </c>
      <c r="AE243" s="1321"/>
      <c r="AF243" s="1322"/>
      <c r="AG243" s="740"/>
    </row>
    <row r="244" spans="1:33">
      <c r="A244" s="96">
        <v>300674</v>
      </c>
      <c r="B244" s="1286" t="s">
        <v>171</v>
      </c>
      <c r="C244" s="782">
        <f>'TAR_Tab 2_Volumina'!N247</f>
        <v>0</v>
      </c>
      <c r="D244" s="976"/>
      <c r="E244" s="1318">
        <v>0</v>
      </c>
      <c r="F244" s="1116">
        <f t="shared" si="35"/>
        <v>0</v>
      </c>
      <c r="G244" s="1116">
        <f t="shared" si="36"/>
        <v>0</v>
      </c>
      <c r="H244" s="976"/>
      <c r="I244" s="1117">
        <f t="shared" si="42"/>
        <v>0</v>
      </c>
      <c r="J244" s="1117">
        <f t="shared" si="42"/>
        <v>0</v>
      </c>
      <c r="K244" s="1320"/>
      <c r="L244" s="1000" t="str">
        <f t="shared" si="37"/>
        <v/>
      </c>
      <c r="M244" s="1118">
        <f t="shared" si="38"/>
        <v>0</v>
      </c>
      <c r="N244" s="976"/>
      <c r="O244" s="1119">
        <f t="shared" si="44"/>
        <v>0</v>
      </c>
      <c r="P244" s="1119">
        <f t="shared" si="43"/>
        <v>0</v>
      </c>
      <c r="Q244" s="1119">
        <f t="shared" si="43"/>
        <v>0</v>
      </c>
      <c r="R244" s="1119">
        <f t="shared" si="43"/>
        <v>0</v>
      </c>
      <c r="S244" s="1119">
        <f t="shared" si="43"/>
        <v>0</v>
      </c>
      <c r="T244" s="1119">
        <f t="shared" si="43"/>
        <v>0</v>
      </c>
      <c r="U244" s="1119">
        <f t="shared" si="43"/>
        <v>0</v>
      </c>
      <c r="V244" s="1119">
        <f t="shared" si="43"/>
        <v>0</v>
      </c>
      <c r="W244" s="1119">
        <f t="shared" si="43"/>
        <v>0</v>
      </c>
      <c r="X244" s="978"/>
      <c r="Y244" s="1120">
        <f t="shared" si="39"/>
        <v>0</v>
      </c>
      <c r="Z244" s="1354"/>
      <c r="AA244" s="1001">
        <v>0</v>
      </c>
      <c r="AB244" s="978"/>
      <c r="AC244" s="1036">
        <f t="shared" si="40"/>
        <v>0</v>
      </c>
      <c r="AD244" s="783">
        <f t="shared" si="41"/>
        <v>0</v>
      </c>
      <c r="AE244" s="1321"/>
      <c r="AF244" s="1322"/>
      <c r="AG244" s="740"/>
    </row>
    <row r="245" spans="1:33">
      <c r="A245" s="96">
        <v>300675</v>
      </c>
      <c r="B245" s="1286" t="s">
        <v>172</v>
      </c>
      <c r="C245" s="782">
        <f>'TAR_Tab 2_Volumina'!N248</f>
        <v>0</v>
      </c>
      <c r="D245" s="976"/>
      <c r="E245" s="1318">
        <v>0</v>
      </c>
      <c r="F245" s="1116">
        <f t="shared" si="35"/>
        <v>0</v>
      </c>
      <c r="G245" s="1116">
        <f t="shared" si="36"/>
        <v>0</v>
      </c>
      <c r="H245" s="976"/>
      <c r="I245" s="1117">
        <f t="shared" si="42"/>
        <v>0</v>
      </c>
      <c r="J245" s="1117">
        <f t="shared" si="42"/>
        <v>0</v>
      </c>
      <c r="K245" s="1320"/>
      <c r="L245" s="1000" t="str">
        <f t="shared" si="37"/>
        <v/>
      </c>
      <c r="M245" s="1118">
        <f t="shared" si="38"/>
        <v>0</v>
      </c>
      <c r="N245" s="976"/>
      <c r="O245" s="1119">
        <f t="shared" si="44"/>
        <v>0</v>
      </c>
      <c r="P245" s="1119">
        <f t="shared" si="43"/>
        <v>0</v>
      </c>
      <c r="Q245" s="1119">
        <f t="shared" si="43"/>
        <v>0</v>
      </c>
      <c r="R245" s="1119">
        <f t="shared" si="43"/>
        <v>0</v>
      </c>
      <c r="S245" s="1119">
        <f t="shared" si="43"/>
        <v>0</v>
      </c>
      <c r="T245" s="1119">
        <f t="shared" si="43"/>
        <v>0</v>
      </c>
      <c r="U245" s="1119">
        <f t="shared" si="43"/>
        <v>0</v>
      </c>
      <c r="V245" s="1119">
        <f t="shared" si="43"/>
        <v>0</v>
      </c>
      <c r="W245" s="1119">
        <f t="shared" si="43"/>
        <v>0</v>
      </c>
      <c r="X245" s="978"/>
      <c r="Y245" s="1120">
        <f t="shared" si="39"/>
        <v>0</v>
      </c>
      <c r="Z245" s="1354"/>
      <c r="AA245" s="1001">
        <v>0</v>
      </c>
      <c r="AB245" s="978"/>
      <c r="AC245" s="1036">
        <f t="shared" si="40"/>
        <v>0</v>
      </c>
      <c r="AD245" s="783">
        <f t="shared" si="41"/>
        <v>0</v>
      </c>
      <c r="AE245" s="1321"/>
      <c r="AF245" s="1322"/>
      <c r="AG245" s="740"/>
    </row>
    <row r="246" spans="1:33">
      <c r="A246" s="96">
        <v>300680</v>
      </c>
      <c r="B246" s="1286" t="s">
        <v>173</v>
      </c>
      <c r="C246" s="782">
        <f>'TAR_Tab 2_Volumina'!N249</f>
        <v>0</v>
      </c>
      <c r="D246" s="976"/>
      <c r="E246" s="1318">
        <v>0</v>
      </c>
      <c r="F246" s="1116">
        <f t="shared" si="35"/>
        <v>0</v>
      </c>
      <c r="G246" s="1116">
        <f t="shared" si="36"/>
        <v>0</v>
      </c>
      <c r="H246" s="976"/>
      <c r="I246" s="1117">
        <f t="shared" si="42"/>
        <v>0</v>
      </c>
      <c r="J246" s="1117">
        <f t="shared" si="42"/>
        <v>0</v>
      </c>
      <c r="K246" s="1320"/>
      <c r="L246" s="1000" t="str">
        <f t="shared" si="37"/>
        <v/>
      </c>
      <c r="M246" s="1118">
        <f t="shared" si="38"/>
        <v>0</v>
      </c>
      <c r="N246" s="976"/>
      <c r="O246" s="1119">
        <f t="shared" si="44"/>
        <v>0</v>
      </c>
      <c r="P246" s="1119">
        <f t="shared" si="43"/>
        <v>0</v>
      </c>
      <c r="Q246" s="1119">
        <f t="shared" si="43"/>
        <v>0</v>
      </c>
      <c r="R246" s="1119">
        <f t="shared" si="43"/>
        <v>0</v>
      </c>
      <c r="S246" s="1119">
        <f t="shared" si="43"/>
        <v>0</v>
      </c>
      <c r="T246" s="1119">
        <f t="shared" si="43"/>
        <v>0</v>
      </c>
      <c r="U246" s="1119">
        <f t="shared" si="43"/>
        <v>0</v>
      </c>
      <c r="V246" s="1119">
        <f t="shared" si="43"/>
        <v>0</v>
      </c>
      <c r="W246" s="1119">
        <f t="shared" si="43"/>
        <v>0</v>
      </c>
      <c r="X246" s="978"/>
      <c r="Y246" s="1120">
        <f t="shared" si="39"/>
        <v>0</v>
      </c>
      <c r="Z246" s="1354"/>
      <c r="AA246" s="1001">
        <v>0</v>
      </c>
      <c r="AB246" s="978"/>
      <c r="AC246" s="1036">
        <f t="shared" si="40"/>
        <v>0</v>
      </c>
      <c r="AD246" s="783">
        <f t="shared" si="41"/>
        <v>0</v>
      </c>
      <c r="AE246" s="1321"/>
      <c r="AF246" s="1322"/>
      <c r="AG246" s="740"/>
    </row>
    <row r="247" spans="1:33">
      <c r="A247" s="96">
        <v>300681</v>
      </c>
      <c r="B247" s="1286" t="s">
        <v>174</v>
      </c>
      <c r="C247" s="782">
        <f>'TAR_Tab 2_Volumina'!N250</f>
        <v>0</v>
      </c>
      <c r="D247" s="976"/>
      <c r="E247" s="1318">
        <v>0</v>
      </c>
      <c r="F247" s="1116">
        <f t="shared" si="35"/>
        <v>0</v>
      </c>
      <c r="G247" s="1116">
        <f t="shared" si="36"/>
        <v>0</v>
      </c>
      <c r="H247" s="976"/>
      <c r="I247" s="1117">
        <f t="shared" si="42"/>
        <v>0</v>
      </c>
      <c r="J247" s="1117">
        <f t="shared" si="42"/>
        <v>0</v>
      </c>
      <c r="K247" s="1320"/>
      <c r="L247" s="1000" t="str">
        <f t="shared" si="37"/>
        <v/>
      </c>
      <c r="M247" s="1118">
        <f t="shared" si="38"/>
        <v>0</v>
      </c>
      <c r="N247" s="976"/>
      <c r="O247" s="1119">
        <f t="shared" si="44"/>
        <v>0</v>
      </c>
      <c r="P247" s="1119">
        <f t="shared" si="43"/>
        <v>0</v>
      </c>
      <c r="Q247" s="1119">
        <f t="shared" si="43"/>
        <v>0</v>
      </c>
      <c r="R247" s="1119">
        <f t="shared" si="43"/>
        <v>0</v>
      </c>
      <c r="S247" s="1119">
        <f t="shared" si="43"/>
        <v>0</v>
      </c>
      <c r="T247" s="1119">
        <f t="shared" si="43"/>
        <v>0</v>
      </c>
      <c r="U247" s="1119">
        <f t="shared" si="43"/>
        <v>0</v>
      </c>
      <c r="V247" s="1119">
        <f t="shared" si="43"/>
        <v>0</v>
      </c>
      <c r="W247" s="1119">
        <f t="shared" si="43"/>
        <v>0</v>
      </c>
      <c r="X247" s="978"/>
      <c r="Y247" s="1120">
        <f t="shared" si="39"/>
        <v>0</v>
      </c>
      <c r="Z247" s="1354"/>
      <c r="AA247" s="1001">
        <v>0</v>
      </c>
      <c r="AB247" s="978"/>
      <c r="AC247" s="1036">
        <f t="shared" si="40"/>
        <v>0</v>
      </c>
      <c r="AD247" s="783">
        <f t="shared" si="41"/>
        <v>0</v>
      </c>
      <c r="AE247" s="1321"/>
      <c r="AF247" s="1322"/>
      <c r="AG247" s="740"/>
    </row>
    <row r="248" spans="1:33">
      <c r="A248" s="96">
        <v>300683</v>
      </c>
      <c r="B248" s="1286" t="s">
        <v>252</v>
      </c>
      <c r="C248" s="782">
        <f>'TAR_Tab 2_Volumina'!N251</f>
        <v>0</v>
      </c>
      <c r="D248" s="976"/>
      <c r="E248" s="1318">
        <v>0</v>
      </c>
      <c r="F248" s="1116">
        <f t="shared" si="35"/>
        <v>0</v>
      </c>
      <c r="G248" s="1116">
        <f t="shared" si="36"/>
        <v>0</v>
      </c>
      <c r="H248" s="976"/>
      <c r="I248" s="1117">
        <f t="shared" si="42"/>
        <v>0</v>
      </c>
      <c r="J248" s="1117">
        <f t="shared" si="42"/>
        <v>0</v>
      </c>
      <c r="K248" s="1320"/>
      <c r="L248" s="1000" t="str">
        <f t="shared" si="37"/>
        <v/>
      </c>
      <c r="M248" s="1118">
        <f t="shared" si="38"/>
        <v>0</v>
      </c>
      <c r="N248" s="976"/>
      <c r="O248" s="1119">
        <f t="shared" si="44"/>
        <v>0</v>
      </c>
      <c r="P248" s="1119">
        <f t="shared" si="43"/>
        <v>0</v>
      </c>
      <c r="Q248" s="1119">
        <f t="shared" si="43"/>
        <v>0</v>
      </c>
      <c r="R248" s="1119">
        <f t="shared" si="43"/>
        <v>0</v>
      </c>
      <c r="S248" s="1119">
        <f t="shared" si="43"/>
        <v>0</v>
      </c>
      <c r="T248" s="1119">
        <f t="shared" si="43"/>
        <v>0</v>
      </c>
      <c r="U248" s="1119">
        <f t="shared" si="43"/>
        <v>0</v>
      </c>
      <c r="V248" s="1119">
        <f t="shared" si="43"/>
        <v>0</v>
      </c>
      <c r="W248" s="1119">
        <f t="shared" si="43"/>
        <v>0</v>
      </c>
      <c r="X248" s="978"/>
      <c r="Y248" s="1120">
        <f t="shared" si="39"/>
        <v>0</v>
      </c>
      <c r="Z248" s="1354"/>
      <c r="AA248" s="1001">
        <v>0</v>
      </c>
      <c r="AB248" s="978"/>
      <c r="AC248" s="1036">
        <f t="shared" si="40"/>
        <v>0</v>
      </c>
      <c r="AD248" s="783">
        <f t="shared" si="41"/>
        <v>0</v>
      </c>
      <c r="AE248" s="1321"/>
      <c r="AF248" s="1322"/>
      <c r="AG248" s="740"/>
    </row>
    <row r="249" spans="1:33">
      <c r="A249" s="96">
        <v>300684</v>
      </c>
      <c r="B249" s="1286" t="s">
        <v>253</v>
      </c>
      <c r="C249" s="782">
        <f>'TAR_Tab 2_Volumina'!N252</f>
        <v>0</v>
      </c>
      <c r="D249" s="976"/>
      <c r="E249" s="1318">
        <v>0</v>
      </c>
      <c r="F249" s="1116">
        <f t="shared" si="35"/>
        <v>0</v>
      </c>
      <c r="G249" s="1116">
        <f t="shared" si="36"/>
        <v>0</v>
      </c>
      <c r="H249" s="976"/>
      <c r="I249" s="1117">
        <f t="shared" si="42"/>
        <v>0</v>
      </c>
      <c r="J249" s="1117">
        <f t="shared" si="42"/>
        <v>0</v>
      </c>
      <c r="K249" s="1320"/>
      <c r="L249" s="1000" t="str">
        <f t="shared" si="37"/>
        <v/>
      </c>
      <c r="M249" s="1118">
        <f t="shared" si="38"/>
        <v>0</v>
      </c>
      <c r="N249" s="976"/>
      <c r="O249" s="1119">
        <f t="shared" si="44"/>
        <v>0</v>
      </c>
      <c r="P249" s="1119">
        <f t="shared" si="43"/>
        <v>0</v>
      </c>
      <c r="Q249" s="1119">
        <f t="shared" si="43"/>
        <v>0</v>
      </c>
      <c r="R249" s="1119">
        <f t="shared" si="43"/>
        <v>0</v>
      </c>
      <c r="S249" s="1119">
        <f t="shared" si="43"/>
        <v>0</v>
      </c>
      <c r="T249" s="1119">
        <f t="shared" si="43"/>
        <v>0</v>
      </c>
      <c r="U249" s="1119">
        <f t="shared" si="43"/>
        <v>0</v>
      </c>
      <c r="V249" s="1119">
        <f t="shared" si="43"/>
        <v>0</v>
      </c>
      <c r="W249" s="1119">
        <f t="shared" si="43"/>
        <v>0</v>
      </c>
      <c r="X249" s="978"/>
      <c r="Y249" s="1120">
        <f t="shared" si="39"/>
        <v>0</v>
      </c>
      <c r="Z249" s="1354"/>
      <c r="AA249" s="1001">
        <v>0</v>
      </c>
      <c r="AB249" s="978"/>
      <c r="AC249" s="1036">
        <f t="shared" si="40"/>
        <v>0</v>
      </c>
      <c r="AD249" s="783">
        <f t="shared" si="41"/>
        <v>0</v>
      </c>
      <c r="AE249" s="1321"/>
      <c r="AF249" s="1322"/>
      <c r="AG249" s="740"/>
    </row>
    <row r="250" spans="1:33">
      <c r="A250" s="96">
        <v>300685</v>
      </c>
      <c r="B250" s="1286" t="s">
        <v>293</v>
      </c>
      <c r="C250" s="782">
        <f>'TAR_Tab 2_Volumina'!N253</f>
        <v>0</v>
      </c>
      <c r="D250" s="976"/>
      <c r="E250" s="1318">
        <v>0</v>
      </c>
      <c r="F250" s="1116">
        <f t="shared" si="35"/>
        <v>0</v>
      </c>
      <c r="G250" s="1116">
        <f t="shared" si="36"/>
        <v>0</v>
      </c>
      <c r="H250" s="976"/>
      <c r="I250" s="1117">
        <f t="shared" si="42"/>
        <v>0</v>
      </c>
      <c r="J250" s="1117">
        <f t="shared" si="42"/>
        <v>0</v>
      </c>
      <c r="K250" s="1320"/>
      <c r="L250" s="1000" t="str">
        <f t="shared" si="37"/>
        <v/>
      </c>
      <c r="M250" s="1118">
        <f t="shared" si="38"/>
        <v>0</v>
      </c>
      <c r="N250" s="976"/>
      <c r="O250" s="1119">
        <f t="shared" si="44"/>
        <v>0</v>
      </c>
      <c r="P250" s="1119">
        <f t="shared" si="43"/>
        <v>0</v>
      </c>
      <c r="Q250" s="1119">
        <f t="shared" si="43"/>
        <v>0</v>
      </c>
      <c r="R250" s="1119">
        <f t="shared" si="43"/>
        <v>0</v>
      </c>
      <c r="S250" s="1119">
        <f t="shared" si="43"/>
        <v>0</v>
      </c>
      <c r="T250" s="1119">
        <f t="shared" si="43"/>
        <v>0</v>
      </c>
      <c r="U250" s="1119">
        <f t="shared" si="43"/>
        <v>0</v>
      </c>
      <c r="V250" s="1119">
        <f t="shared" si="43"/>
        <v>0</v>
      </c>
      <c r="W250" s="1119">
        <f t="shared" si="43"/>
        <v>0</v>
      </c>
      <c r="X250" s="978"/>
      <c r="Y250" s="1120">
        <f t="shared" si="39"/>
        <v>0</v>
      </c>
      <c r="Z250" s="1354"/>
      <c r="AA250" s="1001">
        <v>0</v>
      </c>
      <c r="AB250" s="978"/>
      <c r="AC250" s="1036">
        <f t="shared" si="40"/>
        <v>0</v>
      </c>
      <c r="AD250" s="783">
        <f t="shared" si="41"/>
        <v>0</v>
      </c>
      <c r="AE250" s="1321"/>
      <c r="AF250" s="1322"/>
      <c r="AG250" s="740"/>
    </row>
    <row r="251" spans="1:33">
      <c r="A251" s="96">
        <v>300686</v>
      </c>
      <c r="B251" s="1286" t="s">
        <v>254</v>
      </c>
      <c r="C251" s="782">
        <f>'TAR_Tab 2_Volumina'!N254</f>
        <v>0</v>
      </c>
      <c r="D251" s="976"/>
      <c r="E251" s="1318">
        <v>0</v>
      </c>
      <c r="F251" s="1116">
        <f t="shared" si="35"/>
        <v>0</v>
      </c>
      <c r="G251" s="1116">
        <f t="shared" si="36"/>
        <v>0</v>
      </c>
      <c r="H251" s="976"/>
      <c r="I251" s="1117">
        <f t="shared" si="42"/>
        <v>0</v>
      </c>
      <c r="J251" s="1117">
        <f t="shared" si="42"/>
        <v>0</v>
      </c>
      <c r="K251" s="1320"/>
      <c r="L251" s="1000" t="str">
        <f t="shared" si="37"/>
        <v/>
      </c>
      <c r="M251" s="1118">
        <f t="shared" si="38"/>
        <v>0</v>
      </c>
      <c r="N251" s="976"/>
      <c r="O251" s="1119">
        <f t="shared" si="44"/>
        <v>0</v>
      </c>
      <c r="P251" s="1119">
        <f t="shared" si="43"/>
        <v>0</v>
      </c>
      <c r="Q251" s="1119">
        <f t="shared" si="43"/>
        <v>0</v>
      </c>
      <c r="R251" s="1119">
        <f t="shared" si="43"/>
        <v>0</v>
      </c>
      <c r="S251" s="1119">
        <f t="shared" si="43"/>
        <v>0</v>
      </c>
      <c r="T251" s="1119">
        <f t="shared" si="43"/>
        <v>0</v>
      </c>
      <c r="U251" s="1119">
        <f t="shared" si="43"/>
        <v>0</v>
      </c>
      <c r="V251" s="1119">
        <f t="shared" si="43"/>
        <v>0</v>
      </c>
      <c r="W251" s="1119">
        <f t="shared" si="43"/>
        <v>0</v>
      </c>
      <c r="X251" s="978"/>
      <c r="Y251" s="1120">
        <f t="shared" si="39"/>
        <v>0</v>
      </c>
      <c r="Z251" s="1354"/>
      <c r="AA251" s="1001">
        <v>0</v>
      </c>
      <c r="AB251" s="978"/>
      <c r="AC251" s="1036">
        <f t="shared" si="40"/>
        <v>0</v>
      </c>
      <c r="AD251" s="783">
        <f t="shared" si="41"/>
        <v>0</v>
      </c>
      <c r="AE251" s="1321"/>
      <c r="AF251" s="1322"/>
      <c r="AG251" s="740"/>
    </row>
    <row r="252" spans="1:33">
      <c r="A252" s="96">
        <v>300687</v>
      </c>
      <c r="B252" s="1286" t="s">
        <v>799</v>
      </c>
      <c r="C252" s="782">
        <f>'TAR_Tab 2_Volumina'!N255</f>
        <v>0</v>
      </c>
      <c r="D252" s="976"/>
      <c r="E252" s="1318">
        <v>0</v>
      </c>
      <c r="F252" s="1116">
        <f t="shared" si="35"/>
        <v>0</v>
      </c>
      <c r="G252" s="1116">
        <f t="shared" si="36"/>
        <v>0</v>
      </c>
      <c r="H252" s="976"/>
      <c r="I252" s="1117">
        <f t="shared" si="42"/>
        <v>0</v>
      </c>
      <c r="J252" s="1117">
        <f t="shared" si="42"/>
        <v>0</v>
      </c>
      <c r="K252" s="1320"/>
      <c r="L252" s="1000" t="str">
        <f t="shared" si="37"/>
        <v/>
      </c>
      <c r="M252" s="1118">
        <f t="shared" si="38"/>
        <v>0</v>
      </c>
      <c r="N252" s="976"/>
      <c r="O252" s="1119">
        <f t="shared" si="44"/>
        <v>0</v>
      </c>
      <c r="P252" s="1119">
        <f t="shared" si="43"/>
        <v>0</v>
      </c>
      <c r="Q252" s="1119">
        <f t="shared" si="43"/>
        <v>0</v>
      </c>
      <c r="R252" s="1119">
        <f t="shared" si="43"/>
        <v>0</v>
      </c>
      <c r="S252" s="1119">
        <f t="shared" si="43"/>
        <v>0</v>
      </c>
      <c r="T252" s="1119">
        <f t="shared" si="43"/>
        <v>0</v>
      </c>
      <c r="U252" s="1119">
        <f t="shared" si="43"/>
        <v>0</v>
      </c>
      <c r="V252" s="1119">
        <f t="shared" si="43"/>
        <v>0</v>
      </c>
      <c r="W252" s="1119">
        <f t="shared" si="43"/>
        <v>0</v>
      </c>
      <c r="X252" s="978"/>
      <c r="Y252" s="1120">
        <f t="shared" si="39"/>
        <v>0</v>
      </c>
      <c r="Z252" s="1354"/>
      <c r="AA252" s="1001">
        <v>0</v>
      </c>
      <c r="AB252" s="978"/>
      <c r="AC252" s="1036">
        <f t="shared" si="40"/>
        <v>0</v>
      </c>
      <c r="AD252" s="783">
        <f t="shared" si="41"/>
        <v>0</v>
      </c>
      <c r="AE252" s="1321"/>
      <c r="AF252" s="1322"/>
      <c r="AG252" s="740"/>
    </row>
    <row r="253" spans="1:33">
      <c r="A253" s="96">
        <v>300691</v>
      </c>
      <c r="B253" s="1286" t="s">
        <v>294</v>
      </c>
      <c r="C253" s="782">
        <f>'TAR_Tab 2_Volumina'!N256</f>
        <v>1</v>
      </c>
      <c r="D253" s="976"/>
      <c r="E253" s="1318">
        <v>35722.02781136518</v>
      </c>
      <c r="F253" s="1116">
        <f t="shared" si="35"/>
        <v>33993.081665295103</v>
      </c>
      <c r="G253" s="1116">
        <f t="shared" si="36"/>
        <v>34787.534164485827</v>
      </c>
      <c r="H253" s="976"/>
      <c r="I253" s="1117">
        <f t="shared" si="42"/>
        <v>33048.157456261535</v>
      </c>
      <c r="J253" s="1117">
        <f t="shared" si="42"/>
        <v>36526.910872710119</v>
      </c>
      <c r="K253" s="1320"/>
      <c r="L253" s="1000" t="str">
        <f t="shared" si="37"/>
        <v/>
      </c>
      <c r="M253" s="1118">
        <f t="shared" si="38"/>
        <v>34787.534164485827</v>
      </c>
      <c r="N253" s="976"/>
      <c r="O253" s="1119">
        <f t="shared" si="44"/>
        <v>-1613.3713496037913</v>
      </c>
      <c r="P253" s="1119">
        <f t="shared" si="43"/>
        <v>1669.4094408962371</v>
      </c>
      <c r="Q253" s="1119">
        <f t="shared" si="43"/>
        <v>0</v>
      </c>
      <c r="R253" s="1119">
        <f t="shared" si="43"/>
        <v>62.89083051203594</v>
      </c>
      <c r="S253" s="1119">
        <f t="shared" si="43"/>
        <v>1456.5396964682793</v>
      </c>
      <c r="T253" s="1119">
        <f t="shared" si="43"/>
        <v>-190.61821729297034</v>
      </c>
      <c r="U253" s="1119">
        <f t="shared" si="43"/>
        <v>-7.1712725559572243</v>
      </c>
      <c r="V253" s="1119">
        <f t="shared" si="43"/>
        <v>-592.93851547629686</v>
      </c>
      <c r="W253" s="1119">
        <f t="shared" si="43"/>
        <v>46.784885820729031</v>
      </c>
      <c r="X253" s="978"/>
      <c r="Y253" s="1120">
        <f t="shared" si="39"/>
        <v>35619.059663254091</v>
      </c>
      <c r="Z253" s="1354"/>
      <c r="AA253" s="1001">
        <v>9.8509319907955875E-2</v>
      </c>
      <c r="AB253" s="978"/>
      <c r="AC253" s="1036">
        <f t="shared" si="40"/>
        <v>9.8509319907955875E-2</v>
      </c>
      <c r="AD253" s="783">
        <f t="shared" si="41"/>
        <v>9.9000000000000005E-2</v>
      </c>
      <c r="AE253" s="1321"/>
      <c r="AF253" s="1322"/>
      <c r="AG253" s="740"/>
    </row>
    <row r="254" spans="1:33">
      <c r="A254" s="96">
        <v>300692</v>
      </c>
      <c r="B254" s="1286" t="s">
        <v>295</v>
      </c>
      <c r="C254" s="782">
        <f>'TAR_Tab 2_Volumina'!N257</f>
        <v>0</v>
      </c>
      <c r="D254" s="976"/>
      <c r="E254" s="1318">
        <v>0</v>
      </c>
      <c r="F254" s="1116">
        <f t="shared" si="35"/>
        <v>0</v>
      </c>
      <c r="G254" s="1116">
        <f t="shared" si="36"/>
        <v>0</v>
      </c>
      <c r="H254" s="976"/>
      <c r="I254" s="1117">
        <f t="shared" si="42"/>
        <v>0</v>
      </c>
      <c r="J254" s="1117">
        <f t="shared" si="42"/>
        <v>0</v>
      </c>
      <c r="K254" s="1320"/>
      <c r="L254" s="1000" t="str">
        <f t="shared" si="37"/>
        <v/>
      </c>
      <c r="M254" s="1118">
        <f t="shared" si="38"/>
        <v>0</v>
      </c>
      <c r="N254" s="976"/>
      <c r="O254" s="1119">
        <f t="shared" si="44"/>
        <v>0</v>
      </c>
      <c r="P254" s="1119">
        <f t="shared" si="43"/>
        <v>0</v>
      </c>
      <c r="Q254" s="1119">
        <f t="shared" si="43"/>
        <v>0</v>
      </c>
      <c r="R254" s="1119">
        <f t="shared" si="43"/>
        <v>0</v>
      </c>
      <c r="S254" s="1119">
        <f t="shared" si="43"/>
        <v>0</v>
      </c>
      <c r="T254" s="1119">
        <f t="shared" si="43"/>
        <v>0</v>
      </c>
      <c r="U254" s="1119">
        <f t="shared" si="43"/>
        <v>0</v>
      </c>
      <c r="V254" s="1119">
        <f t="shared" si="43"/>
        <v>0</v>
      </c>
      <c r="W254" s="1119">
        <f t="shared" si="43"/>
        <v>0</v>
      </c>
      <c r="X254" s="978"/>
      <c r="Y254" s="1120">
        <f t="shared" si="39"/>
        <v>0</v>
      </c>
      <c r="Z254" s="1354"/>
      <c r="AA254" s="1001">
        <v>0</v>
      </c>
      <c r="AB254" s="978"/>
      <c r="AC254" s="1036">
        <f t="shared" si="40"/>
        <v>0</v>
      </c>
      <c r="AD254" s="783">
        <f t="shared" si="41"/>
        <v>0</v>
      </c>
      <c r="AE254" s="1321"/>
      <c r="AF254" s="1322"/>
      <c r="AG254" s="740"/>
    </row>
    <row r="255" spans="1:33">
      <c r="A255" s="96">
        <v>300693</v>
      </c>
      <c r="B255" s="1286" t="s">
        <v>176</v>
      </c>
      <c r="C255" s="782">
        <f>'TAR_Tab 2_Volumina'!N258</f>
        <v>0</v>
      </c>
      <c r="D255" s="976"/>
      <c r="E255" s="1318">
        <v>0</v>
      </c>
      <c r="F255" s="1116">
        <f t="shared" si="35"/>
        <v>0</v>
      </c>
      <c r="G255" s="1116">
        <f t="shared" si="36"/>
        <v>0</v>
      </c>
      <c r="H255" s="976"/>
      <c r="I255" s="1117">
        <f t="shared" si="42"/>
        <v>0</v>
      </c>
      <c r="J255" s="1117">
        <f t="shared" si="42"/>
        <v>0</v>
      </c>
      <c r="K255" s="1320"/>
      <c r="L255" s="1000" t="str">
        <f t="shared" si="37"/>
        <v/>
      </c>
      <c r="M255" s="1118">
        <f t="shared" si="38"/>
        <v>0</v>
      </c>
      <c r="N255" s="976"/>
      <c r="O255" s="1119">
        <f t="shared" si="44"/>
        <v>0</v>
      </c>
      <c r="P255" s="1119">
        <f t="shared" si="43"/>
        <v>0</v>
      </c>
      <c r="Q255" s="1119">
        <f t="shared" si="43"/>
        <v>0</v>
      </c>
      <c r="R255" s="1119">
        <f t="shared" si="43"/>
        <v>0</v>
      </c>
      <c r="S255" s="1119">
        <f t="shared" si="43"/>
        <v>0</v>
      </c>
      <c r="T255" s="1119">
        <f t="shared" si="43"/>
        <v>0</v>
      </c>
      <c r="U255" s="1119">
        <f t="shared" si="43"/>
        <v>0</v>
      </c>
      <c r="V255" s="1119">
        <f t="shared" si="43"/>
        <v>0</v>
      </c>
      <c r="W255" s="1119">
        <f t="shared" si="43"/>
        <v>0</v>
      </c>
      <c r="X255" s="978"/>
      <c r="Y255" s="1120">
        <f t="shared" si="39"/>
        <v>0</v>
      </c>
      <c r="Z255" s="1354"/>
      <c r="AA255" s="1001">
        <v>0</v>
      </c>
      <c r="AB255" s="978"/>
      <c r="AC255" s="1036">
        <f t="shared" si="40"/>
        <v>0</v>
      </c>
      <c r="AD255" s="783">
        <f t="shared" si="41"/>
        <v>0</v>
      </c>
      <c r="AE255" s="1321"/>
      <c r="AF255" s="1322"/>
      <c r="AG255" s="740"/>
    </row>
    <row r="256" spans="1:33">
      <c r="A256" s="96">
        <v>300694</v>
      </c>
      <c r="B256" s="1286" t="s">
        <v>177</v>
      </c>
      <c r="C256" s="782">
        <f>'TAR_Tab 2_Volumina'!N259</f>
        <v>0</v>
      </c>
      <c r="D256" s="976"/>
      <c r="E256" s="1318">
        <v>0</v>
      </c>
      <c r="F256" s="1116">
        <f t="shared" si="35"/>
        <v>0</v>
      </c>
      <c r="G256" s="1116">
        <f t="shared" si="36"/>
        <v>0</v>
      </c>
      <c r="H256" s="976"/>
      <c r="I256" s="1117">
        <f t="shared" si="42"/>
        <v>0</v>
      </c>
      <c r="J256" s="1117">
        <f t="shared" si="42"/>
        <v>0</v>
      </c>
      <c r="K256" s="1320"/>
      <c r="L256" s="1000" t="str">
        <f t="shared" si="37"/>
        <v/>
      </c>
      <c r="M256" s="1118">
        <f t="shared" si="38"/>
        <v>0</v>
      </c>
      <c r="N256" s="976"/>
      <c r="O256" s="1119">
        <f t="shared" si="44"/>
        <v>0</v>
      </c>
      <c r="P256" s="1119">
        <f t="shared" si="43"/>
        <v>0</v>
      </c>
      <c r="Q256" s="1119">
        <f t="shared" si="43"/>
        <v>0</v>
      </c>
      <c r="R256" s="1119">
        <f t="shared" si="43"/>
        <v>0</v>
      </c>
      <c r="S256" s="1119">
        <f t="shared" si="43"/>
        <v>0</v>
      </c>
      <c r="T256" s="1119">
        <f t="shared" si="43"/>
        <v>0</v>
      </c>
      <c r="U256" s="1119">
        <f t="shared" si="43"/>
        <v>0</v>
      </c>
      <c r="V256" s="1119">
        <f t="shared" si="43"/>
        <v>0</v>
      </c>
      <c r="W256" s="1119">
        <f t="shared" si="43"/>
        <v>0</v>
      </c>
      <c r="X256" s="978"/>
      <c r="Y256" s="1120">
        <f t="shared" si="39"/>
        <v>0</v>
      </c>
      <c r="Z256" s="1354"/>
      <c r="AA256" s="1001">
        <v>0</v>
      </c>
      <c r="AB256" s="978"/>
      <c r="AC256" s="1036">
        <f t="shared" si="40"/>
        <v>0</v>
      </c>
      <c r="AD256" s="783">
        <f t="shared" si="41"/>
        <v>0</v>
      </c>
      <c r="AE256" s="1321"/>
      <c r="AF256" s="1322"/>
      <c r="AG256" s="740"/>
    </row>
    <row r="257" spans="1:33">
      <c r="A257" s="96">
        <v>300696</v>
      </c>
      <c r="B257" s="1286" t="s">
        <v>178</v>
      </c>
      <c r="C257" s="782">
        <f>'TAR_Tab 2_Volumina'!N260</f>
        <v>0</v>
      </c>
      <c r="D257" s="976"/>
      <c r="E257" s="1318">
        <v>0</v>
      </c>
      <c r="F257" s="1116">
        <f t="shared" si="35"/>
        <v>0</v>
      </c>
      <c r="G257" s="1116">
        <f t="shared" si="36"/>
        <v>0</v>
      </c>
      <c r="H257" s="976"/>
      <c r="I257" s="1117">
        <f t="shared" si="42"/>
        <v>0</v>
      </c>
      <c r="J257" s="1117">
        <f t="shared" si="42"/>
        <v>0</v>
      </c>
      <c r="K257" s="1320"/>
      <c r="L257" s="1000" t="str">
        <f t="shared" si="37"/>
        <v/>
      </c>
      <c r="M257" s="1118">
        <f t="shared" si="38"/>
        <v>0</v>
      </c>
      <c r="N257" s="976"/>
      <c r="O257" s="1119">
        <f t="shared" si="44"/>
        <v>0</v>
      </c>
      <c r="P257" s="1119">
        <f t="shared" si="43"/>
        <v>0</v>
      </c>
      <c r="Q257" s="1119">
        <f t="shared" si="43"/>
        <v>0</v>
      </c>
      <c r="R257" s="1119">
        <f t="shared" si="43"/>
        <v>0</v>
      </c>
      <c r="S257" s="1119">
        <f t="shared" si="43"/>
        <v>0</v>
      </c>
      <c r="T257" s="1119">
        <f t="shared" si="43"/>
        <v>0</v>
      </c>
      <c r="U257" s="1119">
        <f t="shared" si="43"/>
        <v>0</v>
      </c>
      <c r="V257" s="1119">
        <f t="shared" si="43"/>
        <v>0</v>
      </c>
      <c r="W257" s="1119">
        <f t="shared" si="43"/>
        <v>0</v>
      </c>
      <c r="X257" s="978"/>
      <c r="Y257" s="1120">
        <f t="shared" si="39"/>
        <v>0</v>
      </c>
      <c r="Z257" s="1354"/>
      <c r="AA257" s="1001">
        <v>0</v>
      </c>
      <c r="AB257" s="978"/>
      <c r="AC257" s="1036">
        <f t="shared" si="40"/>
        <v>0</v>
      </c>
      <c r="AD257" s="783">
        <f t="shared" si="41"/>
        <v>0</v>
      </c>
      <c r="AE257" s="1321"/>
      <c r="AF257" s="1322"/>
      <c r="AG257" s="740"/>
    </row>
    <row r="258" spans="1:33">
      <c r="A258" s="96">
        <v>300703</v>
      </c>
      <c r="B258" s="1286" t="s">
        <v>179</v>
      </c>
      <c r="C258" s="782">
        <f>'TAR_Tab 2_Volumina'!N261</f>
        <v>0</v>
      </c>
      <c r="D258" s="976"/>
      <c r="E258" s="1318">
        <v>0</v>
      </c>
      <c r="F258" s="1116">
        <f t="shared" si="35"/>
        <v>0</v>
      </c>
      <c r="G258" s="1116">
        <f t="shared" si="36"/>
        <v>0</v>
      </c>
      <c r="H258" s="976"/>
      <c r="I258" s="1117">
        <f t="shared" si="42"/>
        <v>0</v>
      </c>
      <c r="J258" s="1117">
        <f t="shared" si="42"/>
        <v>0</v>
      </c>
      <c r="K258" s="1320"/>
      <c r="L258" s="1000" t="str">
        <f t="shared" si="37"/>
        <v/>
      </c>
      <c r="M258" s="1118">
        <f t="shared" si="38"/>
        <v>0</v>
      </c>
      <c r="N258" s="976"/>
      <c r="O258" s="1119">
        <f t="shared" si="44"/>
        <v>0</v>
      </c>
      <c r="P258" s="1119">
        <f t="shared" si="43"/>
        <v>0</v>
      </c>
      <c r="Q258" s="1119">
        <f t="shared" si="43"/>
        <v>0</v>
      </c>
      <c r="R258" s="1119">
        <f t="shared" si="43"/>
        <v>0</v>
      </c>
      <c r="S258" s="1119">
        <f t="shared" si="43"/>
        <v>0</v>
      </c>
      <c r="T258" s="1119">
        <f t="shared" si="43"/>
        <v>0</v>
      </c>
      <c r="U258" s="1119">
        <f t="shared" si="43"/>
        <v>0</v>
      </c>
      <c r="V258" s="1119">
        <f t="shared" si="43"/>
        <v>0</v>
      </c>
      <c r="W258" s="1119">
        <f t="shared" si="43"/>
        <v>0</v>
      </c>
      <c r="X258" s="978"/>
      <c r="Y258" s="1120">
        <f t="shared" si="39"/>
        <v>0</v>
      </c>
      <c r="Z258" s="1354"/>
      <c r="AA258" s="1001">
        <v>0</v>
      </c>
      <c r="AB258" s="978"/>
      <c r="AC258" s="1036">
        <f t="shared" si="40"/>
        <v>0</v>
      </c>
      <c r="AD258" s="783">
        <f t="shared" si="41"/>
        <v>0</v>
      </c>
      <c r="AE258" s="1321"/>
      <c r="AF258" s="1322"/>
      <c r="AG258" s="740"/>
    </row>
    <row r="259" spans="1:33">
      <c r="A259" s="96">
        <v>300705</v>
      </c>
      <c r="B259" s="1286" t="s">
        <v>800</v>
      </c>
      <c r="C259" s="782">
        <f>'TAR_Tab 2_Volumina'!N262</f>
        <v>0</v>
      </c>
      <c r="D259" s="976"/>
      <c r="E259" s="1318">
        <v>0</v>
      </c>
      <c r="F259" s="1116">
        <f t="shared" si="35"/>
        <v>0</v>
      </c>
      <c r="G259" s="1116">
        <f t="shared" si="36"/>
        <v>0</v>
      </c>
      <c r="H259" s="976"/>
      <c r="I259" s="1117">
        <f t="shared" si="42"/>
        <v>0</v>
      </c>
      <c r="J259" s="1117">
        <f t="shared" si="42"/>
        <v>0</v>
      </c>
      <c r="K259" s="1320"/>
      <c r="L259" s="1000" t="str">
        <f t="shared" si="37"/>
        <v/>
      </c>
      <c r="M259" s="1118">
        <f t="shared" si="38"/>
        <v>0</v>
      </c>
      <c r="N259" s="976"/>
      <c r="O259" s="1119">
        <f t="shared" si="44"/>
        <v>0</v>
      </c>
      <c r="P259" s="1119">
        <f t="shared" si="43"/>
        <v>0</v>
      </c>
      <c r="Q259" s="1119">
        <f t="shared" si="43"/>
        <v>0</v>
      </c>
      <c r="R259" s="1119">
        <f t="shared" si="43"/>
        <v>0</v>
      </c>
      <c r="S259" s="1119">
        <f t="shared" si="43"/>
        <v>0</v>
      </c>
      <c r="T259" s="1119">
        <f t="shared" si="43"/>
        <v>0</v>
      </c>
      <c r="U259" s="1119">
        <f t="shared" si="43"/>
        <v>0</v>
      </c>
      <c r="V259" s="1119">
        <f t="shared" si="43"/>
        <v>0</v>
      </c>
      <c r="W259" s="1119">
        <f t="shared" si="43"/>
        <v>0</v>
      </c>
      <c r="X259" s="978"/>
      <c r="Y259" s="1120">
        <f t="shared" si="39"/>
        <v>0</v>
      </c>
      <c r="Z259" s="1354"/>
      <c r="AA259" s="1001">
        <v>0</v>
      </c>
      <c r="AB259" s="978"/>
      <c r="AC259" s="1036">
        <f t="shared" si="40"/>
        <v>0</v>
      </c>
      <c r="AD259" s="783">
        <f t="shared" si="41"/>
        <v>0</v>
      </c>
      <c r="AE259" s="1321"/>
      <c r="AF259" s="1322"/>
      <c r="AG259" s="740"/>
    </row>
    <row r="260" spans="1:33">
      <c r="A260" s="96">
        <v>300706</v>
      </c>
      <c r="B260" s="1286" t="s">
        <v>180</v>
      </c>
      <c r="C260" s="782">
        <f>'TAR_Tab 2_Volumina'!N263</f>
        <v>0</v>
      </c>
      <c r="D260" s="976"/>
      <c r="E260" s="1318">
        <v>0</v>
      </c>
      <c r="F260" s="1116">
        <f t="shared" si="35"/>
        <v>0</v>
      </c>
      <c r="G260" s="1116">
        <f t="shared" si="36"/>
        <v>0</v>
      </c>
      <c r="H260" s="976"/>
      <c r="I260" s="1117">
        <f t="shared" si="42"/>
        <v>0</v>
      </c>
      <c r="J260" s="1117">
        <f t="shared" si="42"/>
        <v>0</v>
      </c>
      <c r="K260" s="1320"/>
      <c r="L260" s="1000" t="str">
        <f t="shared" si="37"/>
        <v/>
      </c>
      <c r="M260" s="1118">
        <f t="shared" si="38"/>
        <v>0</v>
      </c>
      <c r="N260" s="976"/>
      <c r="O260" s="1119">
        <f t="shared" si="44"/>
        <v>0</v>
      </c>
      <c r="P260" s="1119">
        <f t="shared" si="43"/>
        <v>0</v>
      </c>
      <c r="Q260" s="1119">
        <f t="shared" si="43"/>
        <v>0</v>
      </c>
      <c r="R260" s="1119">
        <f t="shared" si="43"/>
        <v>0</v>
      </c>
      <c r="S260" s="1119">
        <f t="shared" si="43"/>
        <v>0</v>
      </c>
      <c r="T260" s="1119">
        <f t="shared" si="43"/>
        <v>0</v>
      </c>
      <c r="U260" s="1119">
        <f t="shared" si="43"/>
        <v>0</v>
      </c>
      <c r="V260" s="1119">
        <f t="shared" si="43"/>
        <v>0</v>
      </c>
      <c r="W260" s="1119">
        <f t="shared" si="43"/>
        <v>0</v>
      </c>
      <c r="X260" s="978"/>
      <c r="Y260" s="1120">
        <f t="shared" si="39"/>
        <v>0</v>
      </c>
      <c r="Z260" s="1354"/>
      <c r="AA260" s="1001">
        <v>0</v>
      </c>
      <c r="AB260" s="978"/>
      <c r="AC260" s="1036">
        <f t="shared" si="40"/>
        <v>0</v>
      </c>
      <c r="AD260" s="783">
        <f t="shared" si="41"/>
        <v>0</v>
      </c>
      <c r="AE260" s="1321"/>
      <c r="AF260" s="1322"/>
      <c r="AG260" s="740"/>
    </row>
    <row r="261" spans="1:33">
      <c r="A261" s="96">
        <v>300710</v>
      </c>
      <c r="B261" s="1286" t="s">
        <v>181</v>
      </c>
      <c r="C261" s="782">
        <f>'TAR_Tab 2_Volumina'!N264</f>
        <v>1</v>
      </c>
      <c r="D261" s="976"/>
      <c r="E261" s="1318">
        <v>17861.01390568259</v>
      </c>
      <c r="F261" s="1116">
        <f t="shared" si="35"/>
        <v>16996.540832647552</v>
      </c>
      <c r="G261" s="1116">
        <f t="shared" si="36"/>
        <v>17393.767082242914</v>
      </c>
      <c r="H261" s="976"/>
      <c r="I261" s="1117">
        <f t="shared" si="42"/>
        <v>16524.078728130768</v>
      </c>
      <c r="J261" s="1117">
        <f t="shared" si="42"/>
        <v>18263.45543635506</v>
      </c>
      <c r="K261" s="1320"/>
      <c r="L261" s="1000" t="str">
        <f t="shared" si="37"/>
        <v/>
      </c>
      <c r="M261" s="1118">
        <f t="shared" si="38"/>
        <v>17393.767082242914</v>
      </c>
      <c r="N261" s="976"/>
      <c r="O261" s="1119">
        <f t="shared" si="44"/>
        <v>-806.68567480189563</v>
      </c>
      <c r="P261" s="1119">
        <f t="shared" si="43"/>
        <v>834.70472044811856</v>
      </c>
      <c r="Q261" s="1119">
        <f t="shared" si="43"/>
        <v>0</v>
      </c>
      <c r="R261" s="1119">
        <f t="shared" si="43"/>
        <v>31.44541525601797</v>
      </c>
      <c r="S261" s="1119">
        <f t="shared" si="43"/>
        <v>728.26984823413966</v>
      </c>
      <c r="T261" s="1119">
        <f t="shared" si="43"/>
        <v>-95.309108646485171</v>
      </c>
      <c r="U261" s="1119">
        <f t="shared" si="43"/>
        <v>-3.5856362779786122</v>
      </c>
      <c r="V261" s="1119">
        <f t="shared" si="43"/>
        <v>-296.46925773814843</v>
      </c>
      <c r="W261" s="1119">
        <f t="shared" si="43"/>
        <v>23.392442910364515</v>
      </c>
      <c r="X261" s="978"/>
      <c r="Y261" s="1120">
        <f t="shared" si="39"/>
        <v>17809.529831627045</v>
      </c>
      <c r="Z261" s="1354"/>
      <c r="AA261" s="1001">
        <v>0.16460308096497833</v>
      </c>
      <c r="AB261" s="978"/>
      <c r="AC261" s="1036">
        <f t="shared" si="40"/>
        <v>0.16460308096497833</v>
      </c>
      <c r="AD261" s="783">
        <f t="shared" si="41"/>
        <v>0.16500000000000001</v>
      </c>
      <c r="AE261" s="1321"/>
      <c r="AF261" s="1322"/>
      <c r="AG261" s="740"/>
    </row>
    <row r="262" spans="1:33">
      <c r="A262" s="96">
        <v>300711</v>
      </c>
      <c r="B262" s="1286" t="s">
        <v>182</v>
      </c>
      <c r="C262" s="782">
        <f>'TAR_Tab 2_Volumina'!N265</f>
        <v>0</v>
      </c>
      <c r="D262" s="976"/>
      <c r="E262" s="1318">
        <v>0</v>
      </c>
      <c r="F262" s="1116">
        <f t="shared" si="35"/>
        <v>0</v>
      </c>
      <c r="G262" s="1116">
        <f t="shared" si="36"/>
        <v>0</v>
      </c>
      <c r="H262" s="976"/>
      <c r="I262" s="1117">
        <f t="shared" si="42"/>
        <v>0</v>
      </c>
      <c r="J262" s="1117">
        <f t="shared" si="42"/>
        <v>0</v>
      </c>
      <c r="K262" s="1320"/>
      <c r="L262" s="1000" t="str">
        <f t="shared" si="37"/>
        <v/>
      </c>
      <c r="M262" s="1118">
        <f t="shared" si="38"/>
        <v>0</v>
      </c>
      <c r="N262" s="976"/>
      <c r="O262" s="1119">
        <f t="shared" si="44"/>
        <v>0</v>
      </c>
      <c r="P262" s="1119">
        <f t="shared" si="43"/>
        <v>0</v>
      </c>
      <c r="Q262" s="1119">
        <f t="shared" si="43"/>
        <v>0</v>
      </c>
      <c r="R262" s="1119">
        <f t="shared" si="43"/>
        <v>0</v>
      </c>
      <c r="S262" s="1119">
        <f t="shared" si="43"/>
        <v>0</v>
      </c>
      <c r="T262" s="1119">
        <f t="shared" si="43"/>
        <v>0</v>
      </c>
      <c r="U262" s="1119">
        <f t="shared" si="43"/>
        <v>0</v>
      </c>
      <c r="V262" s="1119">
        <f t="shared" si="43"/>
        <v>0</v>
      </c>
      <c r="W262" s="1119">
        <f t="shared" si="43"/>
        <v>0</v>
      </c>
      <c r="X262" s="978"/>
      <c r="Y262" s="1120">
        <f t="shared" si="39"/>
        <v>0</v>
      </c>
      <c r="Z262" s="1354"/>
      <c r="AA262" s="1001">
        <v>0</v>
      </c>
      <c r="AB262" s="978"/>
      <c r="AC262" s="1036">
        <f t="shared" si="40"/>
        <v>0</v>
      </c>
      <c r="AD262" s="783">
        <f t="shared" si="41"/>
        <v>0</v>
      </c>
      <c r="AE262" s="1321"/>
      <c r="AF262" s="1322"/>
      <c r="AG262" s="740"/>
    </row>
    <row r="263" spans="1:33">
      <c r="A263" s="96">
        <v>300712</v>
      </c>
      <c r="B263" s="1286" t="s">
        <v>183</v>
      </c>
      <c r="C263" s="782">
        <f>'TAR_Tab 2_Volumina'!N266</f>
        <v>0</v>
      </c>
      <c r="D263" s="976"/>
      <c r="E263" s="1318">
        <v>0</v>
      </c>
      <c r="F263" s="1116">
        <f t="shared" ref="F263:F326" si="45">E263*$F$5*C263</f>
        <v>0</v>
      </c>
      <c r="G263" s="1116">
        <f t="shared" ref="G263:G326" si="46">F263*$G$5</f>
        <v>0</v>
      </c>
      <c r="H263" s="976"/>
      <c r="I263" s="1117">
        <f t="shared" si="42"/>
        <v>0</v>
      </c>
      <c r="J263" s="1117">
        <f t="shared" si="42"/>
        <v>0</v>
      </c>
      <c r="K263" s="1320"/>
      <c r="L263" s="1000" t="str">
        <f t="shared" si="37"/>
        <v/>
      </c>
      <c r="M263" s="1118">
        <f t="shared" si="38"/>
        <v>0</v>
      </c>
      <c r="N263" s="976"/>
      <c r="O263" s="1119">
        <f t="shared" si="44"/>
        <v>0</v>
      </c>
      <c r="P263" s="1119">
        <f t="shared" si="43"/>
        <v>0</v>
      </c>
      <c r="Q263" s="1119">
        <f t="shared" si="43"/>
        <v>0</v>
      </c>
      <c r="R263" s="1119">
        <f t="shared" si="43"/>
        <v>0</v>
      </c>
      <c r="S263" s="1119">
        <f t="shared" si="43"/>
        <v>0</v>
      </c>
      <c r="T263" s="1119">
        <f t="shared" si="43"/>
        <v>0</v>
      </c>
      <c r="U263" s="1119">
        <f t="shared" si="43"/>
        <v>0</v>
      </c>
      <c r="V263" s="1119">
        <f t="shared" si="43"/>
        <v>0</v>
      </c>
      <c r="W263" s="1119">
        <f t="shared" si="43"/>
        <v>0</v>
      </c>
      <c r="X263" s="978"/>
      <c r="Y263" s="1120">
        <f t="shared" si="39"/>
        <v>0</v>
      </c>
      <c r="Z263" s="1354"/>
      <c r="AA263" s="1001">
        <v>0</v>
      </c>
      <c r="AB263" s="978"/>
      <c r="AC263" s="1036">
        <f t="shared" si="40"/>
        <v>0</v>
      </c>
      <c r="AD263" s="783">
        <f t="shared" si="41"/>
        <v>0</v>
      </c>
      <c r="AE263" s="1321"/>
      <c r="AF263" s="1322"/>
      <c r="AG263" s="740"/>
    </row>
    <row r="264" spans="1:33">
      <c r="A264" s="96">
        <v>300713</v>
      </c>
      <c r="B264" s="1286" t="s">
        <v>184</v>
      </c>
      <c r="C264" s="782">
        <f>'TAR_Tab 2_Volumina'!N267</f>
        <v>0</v>
      </c>
      <c r="D264" s="976"/>
      <c r="E264" s="1318">
        <v>0</v>
      </c>
      <c r="F264" s="1116">
        <f t="shared" si="45"/>
        <v>0</v>
      </c>
      <c r="G264" s="1116">
        <f t="shared" si="46"/>
        <v>0</v>
      </c>
      <c r="H264" s="976"/>
      <c r="I264" s="1117">
        <f t="shared" si="42"/>
        <v>0</v>
      </c>
      <c r="J264" s="1117">
        <f t="shared" si="42"/>
        <v>0</v>
      </c>
      <c r="K264" s="1320"/>
      <c r="L264" s="1000" t="str">
        <f t="shared" ref="L264:L327" si="47">IF(K264&gt;0,AND(K264&gt;=I264,K264&lt;=J264),"")</f>
        <v/>
      </c>
      <c r="M264" s="1118">
        <f t="shared" ref="M264:M327" si="48">IF(K264&gt;0,K264,G264)</f>
        <v>0</v>
      </c>
      <c r="N264" s="976"/>
      <c r="O264" s="1119">
        <f t="shared" si="44"/>
        <v>0</v>
      </c>
      <c r="P264" s="1119">
        <f t="shared" si="43"/>
        <v>0</v>
      </c>
      <c r="Q264" s="1119">
        <f t="shared" si="43"/>
        <v>0</v>
      </c>
      <c r="R264" s="1119">
        <f t="shared" si="43"/>
        <v>0</v>
      </c>
      <c r="S264" s="1119">
        <f t="shared" si="43"/>
        <v>0</v>
      </c>
      <c r="T264" s="1119">
        <f t="shared" si="43"/>
        <v>0</v>
      </c>
      <c r="U264" s="1119">
        <f t="shared" si="43"/>
        <v>0</v>
      </c>
      <c r="V264" s="1119">
        <f t="shared" si="43"/>
        <v>0</v>
      </c>
      <c r="W264" s="1119">
        <f t="shared" si="43"/>
        <v>0</v>
      </c>
      <c r="X264" s="978"/>
      <c r="Y264" s="1120">
        <f t="shared" ref="Y264:Y327" si="49">M264+SUM(O264:W264)</f>
        <v>0</v>
      </c>
      <c r="Z264" s="1354"/>
      <c r="AA264" s="1001">
        <v>0</v>
      </c>
      <c r="AB264" s="978"/>
      <c r="AC264" s="1036">
        <f t="shared" ref="AC264:AC327" si="50">AA264</f>
        <v>0</v>
      </c>
      <c r="AD264" s="783">
        <f t="shared" ref="AD264:AD327" si="51">ROUND(AC264,3)</f>
        <v>0</v>
      </c>
      <c r="AE264" s="1321"/>
      <c r="AF264" s="1322"/>
      <c r="AG264" s="740"/>
    </row>
    <row r="265" spans="1:33">
      <c r="A265" s="96">
        <v>300716</v>
      </c>
      <c r="B265" s="1286" t="s">
        <v>801</v>
      </c>
      <c r="C265" s="782">
        <f>'TAR_Tab 2_Volumina'!N268</f>
        <v>0</v>
      </c>
      <c r="D265" s="976"/>
      <c r="E265" s="1318">
        <v>0</v>
      </c>
      <c r="F265" s="1116">
        <f t="shared" si="45"/>
        <v>0</v>
      </c>
      <c r="G265" s="1116">
        <f t="shared" si="46"/>
        <v>0</v>
      </c>
      <c r="H265" s="976"/>
      <c r="I265" s="1117">
        <f t="shared" si="42"/>
        <v>0</v>
      </c>
      <c r="J265" s="1117">
        <f t="shared" si="42"/>
        <v>0</v>
      </c>
      <c r="K265" s="1320"/>
      <c r="L265" s="1000" t="str">
        <f t="shared" si="47"/>
        <v/>
      </c>
      <c r="M265" s="1118">
        <f t="shared" si="48"/>
        <v>0</v>
      </c>
      <c r="N265" s="976"/>
      <c r="O265" s="1119">
        <f t="shared" si="44"/>
        <v>0</v>
      </c>
      <c r="P265" s="1119">
        <f t="shared" si="43"/>
        <v>0</v>
      </c>
      <c r="Q265" s="1119">
        <f t="shared" si="43"/>
        <v>0</v>
      </c>
      <c r="R265" s="1119">
        <f t="shared" si="43"/>
        <v>0</v>
      </c>
      <c r="S265" s="1119">
        <f t="shared" si="43"/>
        <v>0</v>
      </c>
      <c r="T265" s="1119">
        <f t="shared" si="43"/>
        <v>0</v>
      </c>
      <c r="U265" s="1119">
        <f t="shared" si="43"/>
        <v>0</v>
      </c>
      <c r="V265" s="1119">
        <f t="shared" ref="P265:W297" si="52">$M265*V$5</f>
        <v>0</v>
      </c>
      <c r="W265" s="1119">
        <f t="shared" si="52"/>
        <v>0</v>
      </c>
      <c r="X265" s="978"/>
      <c r="Y265" s="1120">
        <f t="shared" si="49"/>
        <v>0</v>
      </c>
      <c r="Z265" s="1354"/>
      <c r="AA265" s="1001">
        <v>0</v>
      </c>
      <c r="AB265" s="978"/>
      <c r="AC265" s="1036">
        <f t="shared" si="50"/>
        <v>0</v>
      </c>
      <c r="AD265" s="783">
        <f t="shared" si="51"/>
        <v>0</v>
      </c>
      <c r="AE265" s="1321"/>
      <c r="AF265" s="1322"/>
      <c r="AG265" s="740"/>
    </row>
    <row r="266" spans="1:33">
      <c r="A266" s="96">
        <v>300719</v>
      </c>
      <c r="B266" s="1286" t="s">
        <v>185</v>
      </c>
      <c r="C266" s="782">
        <f>'TAR_Tab 2_Volumina'!N269</f>
        <v>1</v>
      </c>
      <c r="D266" s="976"/>
      <c r="E266" s="1318">
        <v>17861.01390568259</v>
      </c>
      <c r="F266" s="1116">
        <f t="shared" si="45"/>
        <v>16996.540832647552</v>
      </c>
      <c r="G266" s="1116">
        <f t="shared" si="46"/>
        <v>17393.767082242914</v>
      </c>
      <c r="H266" s="976"/>
      <c r="I266" s="1117">
        <f t="shared" si="42"/>
        <v>16524.078728130768</v>
      </c>
      <c r="J266" s="1117">
        <f t="shared" si="42"/>
        <v>18263.45543635506</v>
      </c>
      <c r="K266" s="1320"/>
      <c r="L266" s="1000" t="str">
        <f t="shared" si="47"/>
        <v/>
      </c>
      <c r="M266" s="1118">
        <f t="shared" si="48"/>
        <v>17393.767082242914</v>
      </c>
      <c r="N266" s="976"/>
      <c r="O266" s="1119">
        <f t="shared" si="44"/>
        <v>-806.68567480189563</v>
      </c>
      <c r="P266" s="1119">
        <f t="shared" si="52"/>
        <v>834.70472044811856</v>
      </c>
      <c r="Q266" s="1119">
        <f t="shared" si="52"/>
        <v>0</v>
      </c>
      <c r="R266" s="1119">
        <f t="shared" si="52"/>
        <v>31.44541525601797</v>
      </c>
      <c r="S266" s="1119">
        <f t="shared" si="52"/>
        <v>728.26984823413966</v>
      </c>
      <c r="T266" s="1119">
        <f t="shared" si="52"/>
        <v>-95.309108646485171</v>
      </c>
      <c r="U266" s="1119">
        <f t="shared" si="52"/>
        <v>-3.5856362779786122</v>
      </c>
      <c r="V266" s="1119">
        <f t="shared" si="52"/>
        <v>-296.46925773814843</v>
      </c>
      <c r="W266" s="1119">
        <f t="shared" si="52"/>
        <v>23.392442910364515</v>
      </c>
      <c r="X266" s="978"/>
      <c r="Y266" s="1120">
        <f t="shared" si="49"/>
        <v>17809.529831627045</v>
      </c>
      <c r="Z266" s="1354"/>
      <c r="AA266" s="1001">
        <v>0.22878239761317651</v>
      </c>
      <c r="AB266" s="978"/>
      <c r="AC266" s="1036">
        <f t="shared" si="50"/>
        <v>0.22878239761317651</v>
      </c>
      <c r="AD266" s="783">
        <f t="shared" si="51"/>
        <v>0.22900000000000001</v>
      </c>
      <c r="AE266" s="1321"/>
      <c r="AF266" s="1322"/>
      <c r="AG266" s="740"/>
    </row>
    <row r="267" spans="1:33">
      <c r="A267" s="96">
        <v>300722</v>
      </c>
      <c r="B267" s="1286" t="s">
        <v>186</v>
      </c>
      <c r="C267" s="782">
        <f>'TAR_Tab 2_Volumina'!N270</f>
        <v>0</v>
      </c>
      <c r="D267" s="976"/>
      <c r="E267" s="1318">
        <v>0</v>
      </c>
      <c r="F267" s="1116">
        <f t="shared" si="45"/>
        <v>0</v>
      </c>
      <c r="G267" s="1116">
        <f t="shared" si="46"/>
        <v>0</v>
      </c>
      <c r="H267" s="976"/>
      <c r="I267" s="1117">
        <f t="shared" si="42"/>
        <v>0</v>
      </c>
      <c r="J267" s="1117">
        <f t="shared" si="42"/>
        <v>0</v>
      </c>
      <c r="K267" s="1320"/>
      <c r="L267" s="1000" t="str">
        <f t="shared" si="47"/>
        <v/>
      </c>
      <c r="M267" s="1118">
        <f t="shared" si="48"/>
        <v>0</v>
      </c>
      <c r="N267" s="976"/>
      <c r="O267" s="1119">
        <f t="shared" si="44"/>
        <v>0</v>
      </c>
      <c r="P267" s="1119">
        <f t="shared" si="52"/>
        <v>0</v>
      </c>
      <c r="Q267" s="1119">
        <f t="shared" si="52"/>
        <v>0</v>
      </c>
      <c r="R267" s="1119">
        <f t="shared" si="52"/>
        <v>0</v>
      </c>
      <c r="S267" s="1119">
        <f t="shared" si="52"/>
        <v>0</v>
      </c>
      <c r="T267" s="1119">
        <f t="shared" si="52"/>
        <v>0</v>
      </c>
      <c r="U267" s="1119">
        <f t="shared" si="52"/>
        <v>0</v>
      </c>
      <c r="V267" s="1119">
        <f t="shared" si="52"/>
        <v>0</v>
      </c>
      <c r="W267" s="1119">
        <f t="shared" si="52"/>
        <v>0</v>
      </c>
      <c r="X267" s="978"/>
      <c r="Y267" s="1120">
        <f t="shared" si="49"/>
        <v>0</v>
      </c>
      <c r="Z267" s="1354"/>
      <c r="AA267" s="1001">
        <v>0</v>
      </c>
      <c r="AB267" s="978"/>
      <c r="AC267" s="1036">
        <f t="shared" si="50"/>
        <v>0</v>
      </c>
      <c r="AD267" s="783">
        <f t="shared" si="51"/>
        <v>0</v>
      </c>
      <c r="AE267" s="1321"/>
      <c r="AF267" s="1322"/>
      <c r="AG267" s="740"/>
    </row>
    <row r="268" spans="1:33">
      <c r="A268" s="96">
        <v>300725</v>
      </c>
      <c r="B268" s="1286" t="s">
        <v>371</v>
      </c>
      <c r="C268" s="782">
        <f>'TAR_Tab 2_Volumina'!N271</f>
        <v>0</v>
      </c>
      <c r="D268" s="976"/>
      <c r="E268" s="1318">
        <v>0</v>
      </c>
      <c r="F268" s="1116">
        <f t="shared" si="45"/>
        <v>0</v>
      </c>
      <c r="G268" s="1116">
        <f t="shared" si="46"/>
        <v>0</v>
      </c>
      <c r="H268" s="976"/>
      <c r="I268" s="1117">
        <f t="shared" si="42"/>
        <v>0</v>
      </c>
      <c r="J268" s="1117">
        <f t="shared" si="42"/>
        <v>0</v>
      </c>
      <c r="K268" s="1320"/>
      <c r="L268" s="1000" t="str">
        <f t="shared" si="47"/>
        <v/>
      </c>
      <c r="M268" s="1118">
        <f t="shared" si="48"/>
        <v>0</v>
      </c>
      <c r="N268" s="976"/>
      <c r="O268" s="1119">
        <f t="shared" si="44"/>
        <v>0</v>
      </c>
      <c r="P268" s="1119">
        <f t="shared" si="52"/>
        <v>0</v>
      </c>
      <c r="Q268" s="1119">
        <f t="shared" si="52"/>
        <v>0</v>
      </c>
      <c r="R268" s="1119">
        <f t="shared" si="52"/>
        <v>0</v>
      </c>
      <c r="S268" s="1119">
        <f t="shared" si="52"/>
        <v>0</v>
      </c>
      <c r="T268" s="1119">
        <f t="shared" si="52"/>
        <v>0</v>
      </c>
      <c r="U268" s="1119">
        <f t="shared" si="52"/>
        <v>0</v>
      </c>
      <c r="V268" s="1119">
        <f t="shared" si="52"/>
        <v>0</v>
      </c>
      <c r="W268" s="1119">
        <f t="shared" si="52"/>
        <v>0</v>
      </c>
      <c r="X268" s="978"/>
      <c r="Y268" s="1120">
        <f t="shared" si="49"/>
        <v>0</v>
      </c>
      <c r="Z268" s="1354"/>
      <c r="AA268" s="1001">
        <v>0</v>
      </c>
      <c r="AB268" s="978"/>
      <c r="AC268" s="1036">
        <f t="shared" si="50"/>
        <v>0</v>
      </c>
      <c r="AD268" s="783">
        <f t="shared" si="51"/>
        <v>0</v>
      </c>
      <c r="AE268" s="1321"/>
      <c r="AF268" s="1322"/>
      <c r="AG268" s="740"/>
    </row>
    <row r="269" spans="1:33">
      <c r="A269" s="96">
        <v>300727</v>
      </c>
      <c r="B269" s="1286" t="s">
        <v>296</v>
      </c>
      <c r="C269" s="782">
        <f>'TAR_Tab 2_Volumina'!N272</f>
        <v>1</v>
      </c>
      <c r="D269" s="976"/>
      <c r="E269" s="1318">
        <v>53583.041717047774</v>
      </c>
      <c r="F269" s="1116">
        <f t="shared" si="45"/>
        <v>50989.622497942662</v>
      </c>
      <c r="G269" s="1116">
        <f t="shared" si="46"/>
        <v>52181.301246728748</v>
      </c>
      <c r="H269" s="976"/>
      <c r="I269" s="1117">
        <f t="shared" ref="I269:J332" si="53">$G269*I$5</f>
        <v>49572.236184392306</v>
      </c>
      <c r="J269" s="1117">
        <f t="shared" si="53"/>
        <v>54790.36630906519</v>
      </c>
      <c r="K269" s="1320"/>
      <c r="L269" s="1000" t="str">
        <f t="shared" si="47"/>
        <v/>
      </c>
      <c r="M269" s="1118">
        <f t="shared" si="48"/>
        <v>52181.301246728748</v>
      </c>
      <c r="N269" s="976"/>
      <c r="O269" s="1119">
        <f t="shared" si="44"/>
        <v>-2420.0570244056871</v>
      </c>
      <c r="P269" s="1119">
        <f t="shared" si="52"/>
        <v>2504.114161344356</v>
      </c>
      <c r="Q269" s="1119">
        <f t="shared" si="52"/>
        <v>0</v>
      </c>
      <c r="R269" s="1119">
        <f t="shared" si="52"/>
        <v>94.336245768053928</v>
      </c>
      <c r="S269" s="1119">
        <f t="shared" si="52"/>
        <v>2184.8095447024193</v>
      </c>
      <c r="T269" s="1119">
        <f t="shared" si="52"/>
        <v>-285.92732593945556</v>
      </c>
      <c r="U269" s="1119">
        <f t="shared" si="52"/>
        <v>-10.756908833935839</v>
      </c>
      <c r="V269" s="1119">
        <f t="shared" si="52"/>
        <v>-889.40777321444534</v>
      </c>
      <c r="W269" s="1119">
        <f t="shared" si="52"/>
        <v>70.177328731093553</v>
      </c>
      <c r="X269" s="978"/>
      <c r="Y269" s="1120">
        <f t="shared" si="49"/>
        <v>53428.589494881147</v>
      </c>
      <c r="Z269" s="1354"/>
      <c r="AA269" s="1001">
        <v>5.0140817597385971E-2</v>
      </c>
      <c r="AB269" s="978"/>
      <c r="AC269" s="1036">
        <f t="shared" si="50"/>
        <v>5.0140817597385971E-2</v>
      </c>
      <c r="AD269" s="783">
        <f t="shared" si="51"/>
        <v>0.05</v>
      </c>
      <c r="AE269" s="1321"/>
      <c r="AF269" s="1322"/>
      <c r="AG269" s="740"/>
    </row>
    <row r="270" spans="1:33">
      <c r="A270" s="96">
        <v>300728</v>
      </c>
      <c r="B270" s="1286" t="s">
        <v>187</v>
      </c>
      <c r="C270" s="782">
        <f>'TAR_Tab 2_Volumina'!N273</f>
        <v>1</v>
      </c>
      <c r="D270" s="976"/>
      <c r="E270" s="1318">
        <v>17861.01390568259</v>
      </c>
      <c r="F270" s="1116">
        <f t="shared" si="45"/>
        <v>16996.540832647552</v>
      </c>
      <c r="G270" s="1116">
        <f t="shared" si="46"/>
        <v>17393.767082242914</v>
      </c>
      <c r="H270" s="976"/>
      <c r="I270" s="1117">
        <f t="shared" si="53"/>
        <v>16524.078728130768</v>
      </c>
      <c r="J270" s="1117">
        <f t="shared" si="53"/>
        <v>18263.45543635506</v>
      </c>
      <c r="K270" s="1320"/>
      <c r="L270" s="1000" t="str">
        <f t="shared" si="47"/>
        <v/>
      </c>
      <c r="M270" s="1118">
        <f t="shared" si="48"/>
        <v>17393.767082242914</v>
      </c>
      <c r="N270" s="976"/>
      <c r="O270" s="1119">
        <f t="shared" si="44"/>
        <v>-806.68567480189563</v>
      </c>
      <c r="P270" s="1119">
        <f t="shared" si="52"/>
        <v>834.70472044811856</v>
      </c>
      <c r="Q270" s="1119">
        <f t="shared" si="52"/>
        <v>0</v>
      </c>
      <c r="R270" s="1119">
        <f t="shared" si="52"/>
        <v>31.44541525601797</v>
      </c>
      <c r="S270" s="1119">
        <f t="shared" si="52"/>
        <v>728.26984823413966</v>
      </c>
      <c r="T270" s="1119">
        <f t="shared" si="52"/>
        <v>-95.309108646485171</v>
      </c>
      <c r="U270" s="1119">
        <f t="shared" si="52"/>
        <v>-3.5856362779786122</v>
      </c>
      <c r="V270" s="1119">
        <f t="shared" si="52"/>
        <v>-296.46925773814843</v>
      </c>
      <c r="W270" s="1119">
        <f t="shared" si="52"/>
        <v>23.392442910364515</v>
      </c>
      <c r="X270" s="978"/>
      <c r="Y270" s="1120">
        <f t="shared" si="49"/>
        <v>17809.529831627045</v>
      </c>
      <c r="Z270" s="1354"/>
      <c r="AA270" s="1001">
        <v>0.14069664509920005</v>
      </c>
      <c r="AB270" s="978"/>
      <c r="AC270" s="1036">
        <f t="shared" si="50"/>
        <v>0.14069664509920005</v>
      </c>
      <c r="AD270" s="783">
        <f t="shared" si="51"/>
        <v>0.14099999999999999</v>
      </c>
      <c r="AE270" s="1321"/>
      <c r="AF270" s="1322"/>
      <c r="AG270" s="740"/>
    </row>
    <row r="271" spans="1:33">
      <c r="A271" s="96">
        <v>300729</v>
      </c>
      <c r="B271" s="1286" t="s">
        <v>802</v>
      </c>
      <c r="C271" s="782">
        <f>'TAR_Tab 2_Volumina'!N274</f>
        <v>0</v>
      </c>
      <c r="D271" s="976"/>
      <c r="E271" s="1318">
        <v>0</v>
      </c>
      <c r="F271" s="1116">
        <f t="shared" si="45"/>
        <v>0</v>
      </c>
      <c r="G271" s="1116">
        <f t="shared" si="46"/>
        <v>0</v>
      </c>
      <c r="H271" s="976"/>
      <c r="I271" s="1117">
        <f t="shared" si="53"/>
        <v>0</v>
      </c>
      <c r="J271" s="1117">
        <f t="shared" si="53"/>
        <v>0</v>
      </c>
      <c r="K271" s="1320"/>
      <c r="L271" s="1000" t="str">
        <f t="shared" si="47"/>
        <v/>
      </c>
      <c r="M271" s="1118">
        <f t="shared" si="48"/>
        <v>0</v>
      </c>
      <c r="N271" s="976"/>
      <c r="O271" s="1119">
        <f t="shared" si="44"/>
        <v>0</v>
      </c>
      <c r="P271" s="1119">
        <f t="shared" si="52"/>
        <v>0</v>
      </c>
      <c r="Q271" s="1119">
        <f t="shared" si="52"/>
        <v>0</v>
      </c>
      <c r="R271" s="1119">
        <f t="shared" si="52"/>
        <v>0</v>
      </c>
      <c r="S271" s="1119">
        <f t="shared" si="52"/>
        <v>0</v>
      </c>
      <c r="T271" s="1119">
        <f t="shared" si="52"/>
        <v>0</v>
      </c>
      <c r="U271" s="1119">
        <f t="shared" si="52"/>
        <v>0</v>
      </c>
      <c r="V271" s="1119">
        <f t="shared" si="52"/>
        <v>0</v>
      </c>
      <c r="W271" s="1119">
        <f t="shared" si="52"/>
        <v>0</v>
      </c>
      <c r="X271" s="978"/>
      <c r="Y271" s="1120">
        <f t="shared" si="49"/>
        <v>0</v>
      </c>
      <c r="Z271" s="1354"/>
      <c r="AA271" s="1001">
        <v>0</v>
      </c>
      <c r="AB271" s="978"/>
      <c r="AC271" s="1036">
        <f t="shared" si="50"/>
        <v>0</v>
      </c>
      <c r="AD271" s="783">
        <f t="shared" si="51"/>
        <v>0</v>
      </c>
      <c r="AE271" s="1321"/>
      <c r="AF271" s="1322"/>
      <c r="AG271" s="740"/>
    </row>
    <row r="272" spans="1:33">
      <c r="A272" s="96">
        <v>300734</v>
      </c>
      <c r="B272" s="1286" t="s">
        <v>803</v>
      </c>
      <c r="C272" s="782">
        <f>'TAR_Tab 2_Volumina'!N275</f>
        <v>0</v>
      </c>
      <c r="D272" s="976"/>
      <c r="E272" s="1318">
        <v>0</v>
      </c>
      <c r="F272" s="1116">
        <f t="shared" si="45"/>
        <v>0</v>
      </c>
      <c r="G272" s="1116">
        <f t="shared" si="46"/>
        <v>0</v>
      </c>
      <c r="H272" s="976"/>
      <c r="I272" s="1117">
        <f t="shared" si="53"/>
        <v>0</v>
      </c>
      <c r="J272" s="1117">
        <f t="shared" si="53"/>
        <v>0</v>
      </c>
      <c r="K272" s="1320"/>
      <c r="L272" s="1000" t="str">
        <f t="shared" si="47"/>
        <v/>
      </c>
      <c r="M272" s="1118">
        <f t="shared" si="48"/>
        <v>0</v>
      </c>
      <c r="N272" s="976"/>
      <c r="O272" s="1119">
        <f t="shared" si="44"/>
        <v>0</v>
      </c>
      <c r="P272" s="1119">
        <f t="shared" si="52"/>
        <v>0</v>
      </c>
      <c r="Q272" s="1119">
        <f t="shared" si="52"/>
        <v>0</v>
      </c>
      <c r="R272" s="1119">
        <f t="shared" si="52"/>
        <v>0</v>
      </c>
      <c r="S272" s="1119">
        <f t="shared" si="52"/>
        <v>0</v>
      </c>
      <c r="T272" s="1119">
        <f t="shared" si="52"/>
        <v>0</v>
      </c>
      <c r="U272" s="1119">
        <f t="shared" si="52"/>
        <v>0</v>
      </c>
      <c r="V272" s="1119">
        <f t="shared" si="52"/>
        <v>0</v>
      </c>
      <c r="W272" s="1119">
        <f t="shared" si="52"/>
        <v>0</v>
      </c>
      <c r="X272" s="978"/>
      <c r="Y272" s="1120">
        <f t="shared" si="49"/>
        <v>0</v>
      </c>
      <c r="Z272" s="1354"/>
      <c r="AA272" s="1001">
        <v>0</v>
      </c>
      <c r="AB272" s="978"/>
      <c r="AC272" s="1036">
        <f t="shared" si="50"/>
        <v>0</v>
      </c>
      <c r="AD272" s="783">
        <f t="shared" si="51"/>
        <v>0</v>
      </c>
      <c r="AE272" s="1321"/>
      <c r="AF272" s="1322"/>
      <c r="AG272" s="740"/>
    </row>
    <row r="273" spans="1:33">
      <c r="A273" s="96">
        <v>300736</v>
      </c>
      <c r="B273" s="1286" t="s">
        <v>804</v>
      </c>
      <c r="C273" s="782">
        <f>'TAR_Tab 2_Volumina'!N276</f>
        <v>0</v>
      </c>
      <c r="D273" s="976"/>
      <c r="E273" s="1318">
        <v>0</v>
      </c>
      <c r="F273" s="1116">
        <f t="shared" si="45"/>
        <v>0</v>
      </c>
      <c r="G273" s="1116">
        <f t="shared" si="46"/>
        <v>0</v>
      </c>
      <c r="H273" s="976"/>
      <c r="I273" s="1117">
        <f t="shared" si="53"/>
        <v>0</v>
      </c>
      <c r="J273" s="1117">
        <f t="shared" si="53"/>
        <v>0</v>
      </c>
      <c r="K273" s="1320"/>
      <c r="L273" s="1000" t="str">
        <f t="shared" si="47"/>
        <v/>
      </c>
      <c r="M273" s="1118">
        <f t="shared" si="48"/>
        <v>0</v>
      </c>
      <c r="N273" s="976"/>
      <c r="O273" s="1119">
        <f t="shared" si="44"/>
        <v>0</v>
      </c>
      <c r="P273" s="1119">
        <f t="shared" si="52"/>
        <v>0</v>
      </c>
      <c r="Q273" s="1119">
        <f t="shared" si="52"/>
        <v>0</v>
      </c>
      <c r="R273" s="1119">
        <f t="shared" si="52"/>
        <v>0</v>
      </c>
      <c r="S273" s="1119">
        <f t="shared" si="52"/>
        <v>0</v>
      </c>
      <c r="T273" s="1119">
        <f t="shared" si="52"/>
        <v>0</v>
      </c>
      <c r="U273" s="1119">
        <f t="shared" si="52"/>
        <v>0</v>
      </c>
      <c r="V273" s="1119">
        <f t="shared" si="52"/>
        <v>0</v>
      </c>
      <c r="W273" s="1119">
        <f t="shared" si="52"/>
        <v>0</v>
      </c>
      <c r="X273" s="978"/>
      <c r="Y273" s="1120">
        <f t="shared" si="49"/>
        <v>0</v>
      </c>
      <c r="Z273" s="1354"/>
      <c r="AA273" s="1001">
        <v>0</v>
      </c>
      <c r="AB273" s="978"/>
      <c r="AC273" s="1036">
        <f t="shared" si="50"/>
        <v>0</v>
      </c>
      <c r="AD273" s="783">
        <f t="shared" si="51"/>
        <v>0</v>
      </c>
      <c r="AE273" s="1321"/>
      <c r="AF273" s="1322"/>
      <c r="AG273" s="740"/>
    </row>
    <row r="274" spans="1:33">
      <c r="A274" s="96">
        <v>300737</v>
      </c>
      <c r="B274" s="1286" t="s">
        <v>297</v>
      </c>
      <c r="C274" s="782">
        <f>'TAR_Tab 2_Volumina'!N277</f>
        <v>0</v>
      </c>
      <c r="D274" s="976"/>
      <c r="E274" s="1318">
        <v>0</v>
      </c>
      <c r="F274" s="1116">
        <f t="shared" si="45"/>
        <v>0</v>
      </c>
      <c r="G274" s="1116">
        <f t="shared" si="46"/>
        <v>0</v>
      </c>
      <c r="H274" s="976"/>
      <c r="I274" s="1117">
        <f t="shared" si="53"/>
        <v>0</v>
      </c>
      <c r="J274" s="1117">
        <f t="shared" si="53"/>
        <v>0</v>
      </c>
      <c r="K274" s="1320"/>
      <c r="L274" s="1000" t="str">
        <f t="shared" si="47"/>
        <v/>
      </c>
      <c r="M274" s="1118">
        <f t="shared" si="48"/>
        <v>0</v>
      </c>
      <c r="N274" s="976"/>
      <c r="O274" s="1119">
        <f t="shared" si="44"/>
        <v>0</v>
      </c>
      <c r="P274" s="1119">
        <f t="shared" si="52"/>
        <v>0</v>
      </c>
      <c r="Q274" s="1119">
        <f t="shared" si="52"/>
        <v>0</v>
      </c>
      <c r="R274" s="1119">
        <f t="shared" si="52"/>
        <v>0</v>
      </c>
      <c r="S274" s="1119">
        <f t="shared" si="52"/>
        <v>0</v>
      </c>
      <c r="T274" s="1119">
        <f t="shared" si="52"/>
        <v>0</v>
      </c>
      <c r="U274" s="1119">
        <f t="shared" si="52"/>
        <v>0</v>
      </c>
      <c r="V274" s="1119">
        <f t="shared" si="52"/>
        <v>0</v>
      </c>
      <c r="W274" s="1119">
        <f t="shared" si="52"/>
        <v>0</v>
      </c>
      <c r="X274" s="978"/>
      <c r="Y274" s="1120">
        <f t="shared" si="49"/>
        <v>0</v>
      </c>
      <c r="Z274" s="1354"/>
      <c r="AA274" s="1001">
        <v>0</v>
      </c>
      <c r="AB274" s="978"/>
      <c r="AC274" s="1036">
        <f t="shared" si="50"/>
        <v>0</v>
      </c>
      <c r="AD274" s="783">
        <f t="shared" si="51"/>
        <v>0</v>
      </c>
      <c r="AE274" s="1321"/>
      <c r="AF274" s="1322"/>
      <c r="AG274" s="740"/>
    </row>
    <row r="275" spans="1:33">
      <c r="A275" s="96">
        <v>300740</v>
      </c>
      <c r="B275" s="1286" t="s">
        <v>805</v>
      </c>
      <c r="C275" s="782">
        <f>'TAR_Tab 2_Volumina'!N278</f>
        <v>0</v>
      </c>
      <c r="D275" s="976"/>
      <c r="E275" s="1318">
        <v>0</v>
      </c>
      <c r="F275" s="1116">
        <f t="shared" si="45"/>
        <v>0</v>
      </c>
      <c r="G275" s="1116">
        <f t="shared" si="46"/>
        <v>0</v>
      </c>
      <c r="H275" s="976"/>
      <c r="I275" s="1117">
        <f t="shared" si="53"/>
        <v>0</v>
      </c>
      <c r="J275" s="1117">
        <f t="shared" si="53"/>
        <v>0</v>
      </c>
      <c r="K275" s="1320"/>
      <c r="L275" s="1000" t="str">
        <f t="shared" si="47"/>
        <v/>
      </c>
      <c r="M275" s="1118">
        <f t="shared" si="48"/>
        <v>0</v>
      </c>
      <c r="N275" s="976"/>
      <c r="O275" s="1119">
        <f t="shared" si="44"/>
        <v>0</v>
      </c>
      <c r="P275" s="1119">
        <f t="shared" si="52"/>
        <v>0</v>
      </c>
      <c r="Q275" s="1119">
        <f t="shared" si="52"/>
        <v>0</v>
      </c>
      <c r="R275" s="1119">
        <f t="shared" si="52"/>
        <v>0</v>
      </c>
      <c r="S275" s="1119">
        <f t="shared" si="52"/>
        <v>0</v>
      </c>
      <c r="T275" s="1119">
        <f t="shared" si="52"/>
        <v>0</v>
      </c>
      <c r="U275" s="1119">
        <f t="shared" si="52"/>
        <v>0</v>
      </c>
      <c r="V275" s="1119">
        <f t="shared" si="52"/>
        <v>0</v>
      </c>
      <c r="W275" s="1119">
        <f t="shared" si="52"/>
        <v>0</v>
      </c>
      <c r="X275" s="978"/>
      <c r="Y275" s="1120">
        <f t="shared" si="49"/>
        <v>0</v>
      </c>
      <c r="Z275" s="1354"/>
      <c r="AA275" s="1001">
        <v>0</v>
      </c>
      <c r="AB275" s="978"/>
      <c r="AC275" s="1036">
        <f t="shared" si="50"/>
        <v>0</v>
      </c>
      <c r="AD275" s="783">
        <f t="shared" si="51"/>
        <v>0</v>
      </c>
      <c r="AE275" s="1321"/>
      <c r="AF275" s="1322"/>
      <c r="AG275" s="740"/>
    </row>
    <row r="276" spans="1:33">
      <c r="A276" s="96">
        <v>300747</v>
      </c>
      <c r="B276" s="1286" t="s">
        <v>384</v>
      </c>
      <c r="C276" s="782">
        <f>'TAR_Tab 2_Volumina'!N279</f>
        <v>0</v>
      </c>
      <c r="D276" s="976"/>
      <c r="E276" s="1318">
        <v>0</v>
      </c>
      <c r="F276" s="1116">
        <f t="shared" si="45"/>
        <v>0</v>
      </c>
      <c r="G276" s="1116">
        <f t="shared" si="46"/>
        <v>0</v>
      </c>
      <c r="H276" s="976"/>
      <c r="I276" s="1117">
        <f t="shared" si="53"/>
        <v>0</v>
      </c>
      <c r="J276" s="1117">
        <f t="shared" si="53"/>
        <v>0</v>
      </c>
      <c r="K276" s="1320"/>
      <c r="L276" s="1000" t="str">
        <f t="shared" si="47"/>
        <v/>
      </c>
      <c r="M276" s="1118">
        <f t="shared" si="48"/>
        <v>0</v>
      </c>
      <c r="N276" s="976"/>
      <c r="O276" s="1119">
        <f t="shared" si="44"/>
        <v>0</v>
      </c>
      <c r="P276" s="1119">
        <f t="shared" si="52"/>
        <v>0</v>
      </c>
      <c r="Q276" s="1119">
        <f t="shared" si="52"/>
        <v>0</v>
      </c>
      <c r="R276" s="1119">
        <f t="shared" si="52"/>
        <v>0</v>
      </c>
      <c r="S276" s="1119">
        <f t="shared" si="52"/>
        <v>0</v>
      </c>
      <c r="T276" s="1119">
        <f t="shared" si="52"/>
        <v>0</v>
      </c>
      <c r="U276" s="1119">
        <f t="shared" si="52"/>
        <v>0</v>
      </c>
      <c r="V276" s="1119">
        <f t="shared" si="52"/>
        <v>0</v>
      </c>
      <c r="W276" s="1119">
        <f t="shared" si="52"/>
        <v>0</v>
      </c>
      <c r="X276" s="978"/>
      <c r="Y276" s="1120">
        <f t="shared" si="49"/>
        <v>0</v>
      </c>
      <c r="Z276" s="1354"/>
      <c r="AA276" s="1001">
        <v>0</v>
      </c>
      <c r="AB276" s="978"/>
      <c r="AC276" s="1036">
        <f t="shared" si="50"/>
        <v>0</v>
      </c>
      <c r="AD276" s="783">
        <f t="shared" si="51"/>
        <v>0</v>
      </c>
      <c r="AE276" s="1321"/>
      <c r="AF276" s="1322"/>
      <c r="AG276" s="740"/>
    </row>
    <row r="277" spans="1:33">
      <c r="A277" s="96">
        <v>300748</v>
      </c>
      <c r="B277" s="1286" t="s">
        <v>1201</v>
      </c>
      <c r="C277" s="782">
        <f>'TAR_Tab 2_Volumina'!N280</f>
        <v>0</v>
      </c>
      <c r="D277" s="976"/>
      <c r="E277" s="1318">
        <v>0</v>
      </c>
      <c r="F277" s="1116">
        <f t="shared" si="45"/>
        <v>0</v>
      </c>
      <c r="G277" s="1116">
        <f t="shared" si="46"/>
        <v>0</v>
      </c>
      <c r="H277" s="976"/>
      <c r="I277" s="1117">
        <f t="shared" si="53"/>
        <v>0</v>
      </c>
      <c r="J277" s="1117">
        <f t="shared" si="53"/>
        <v>0</v>
      </c>
      <c r="K277" s="1320"/>
      <c r="L277" s="1000" t="str">
        <f t="shared" si="47"/>
        <v/>
      </c>
      <c r="M277" s="1118">
        <f t="shared" si="48"/>
        <v>0</v>
      </c>
      <c r="N277" s="976"/>
      <c r="O277" s="1119">
        <f t="shared" si="44"/>
        <v>0</v>
      </c>
      <c r="P277" s="1119">
        <f t="shared" si="52"/>
        <v>0</v>
      </c>
      <c r="Q277" s="1119">
        <f t="shared" si="52"/>
        <v>0</v>
      </c>
      <c r="R277" s="1119">
        <f t="shared" si="52"/>
        <v>0</v>
      </c>
      <c r="S277" s="1119">
        <f t="shared" si="52"/>
        <v>0</v>
      </c>
      <c r="T277" s="1119">
        <f t="shared" si="52"/>
        <v>0</v>
      </c>
      <c r="U277" s="1119">
        <f t="shared" si="52"/>
        <v>0</v>
      </c>
      <c r="V277" s="1119">
        <f t="shared" si="52"/>
        <v>0</v>
      </c>
      <c r="W277" s="1119">
        <f t="shared" si="52"/>
        <v>0</v>
      </c>
      <c r="X277" s="978"/>
      <c r="Y277" s="1120">
        <f t="shared" si="49"/>
        <v>0</v>
      </c>
      <c r="Z277" s="1354"/>
      <c r="AA277" s="1001">
        <v>0</v>
      </c>
      <c r="AB277" s="978"/>
      <c r="AC277" s="1036">
        <f t="shared" si="50"/>
        <v>0</v>
      </c>
      <c r="AD277" s="783">
        <f t="shared" si="51"/>
        <v>0</v>
      </c>
      <c r="AE277" s="1321"/>
      <c r="AF277" s="1322"/>
      <c r="AG277" s="740"/>
    </row>
    <row r="278" spans="1:33">
      <c r="A278" s="96">
        <v>300754</v>
      </c>
      <c r="B278" s="1286" t="s">
        <v>385</v>
      </c>
      <c r="C278" s="782">
        <f>'TAR_Tab 2_Volumina'!N281</f>
        <v>1</v>
      </c>
      <c r="D278" s="976"/>
      <c r="E278" s="1318">
        <v>17861.01390568259</v>
      </c>
      <c r="F278" s="1116">
        <f t="shared" si="45"/>
        <v>16996.540832647552</v>
      </c>
      <c r="G278" s="1116">
        <f t="shared" si="46"/>
        <v>17393.767082242914</v>
      </c>
      <c r="H278" s="976"/>
      <c r="I278" s="1117">
        <f t="shared" si="53"/>
        <v>16524.078728130768</v>
      </c>
      <c r="J278" s="1117">
        <f t="shared" si="53"/>
        <v>18263.45543635506</v>
      </c>
      <c r="K278" s="1320"/>
      <c r="L278" s="1000" t="str">
        <f t="shared" si="47"/>
        <v/>
      </c>
      <c r="M278" s="1118">
        <f t="shared" si="48"/>
        <v>17393.767082242914</v>
      </c>
      <c r="N278" s="976"/>
      <c r="O278" s="1119">
        <f t="shared" si="44"/>
        <v>-806.68567480189563</v>
      </c>
      <c r="P278" s="1119">
        <f t="shared" si="52"/>
        <v>834.70472044811856</v>
      </c>
      <c r="Q278" s="1119">
        <f t="shared" si="52"/>
        <v>0</v>
      </c>
      <c r="R278" s="1119">
        <f t="shared" si="52"/>
        <v>31.44541525601797</v>
      </c>
      <c r="S278" s="1119">
        <f t="shared" si="52"/>
        <v>728.26984823413966</v>
      </c>
      <c r="T278" s="1119">
        <f t="shared" si="52"/>
        <v>-95.309108646485171</v>
      </c>
      <c r="U278" s="1119">
        <f t="shared" si="52"/>
        <v>-3.5856362779786122</v>
      </c>
      <c r="V278" s="1119">
        <f t="shared" si="52"/>
        <v>-296.46925773814843</v>
      </c>
      <c r="W278" s="1119">
        <f t="shared" si="52"/>
        <v>23.392442910364515</v>
      </c>
      <c r="X278" s="978"/>
      <c r="Y278" s="1120">
        <f t="shared" si="49"/>
        <v>17809.529831627045</v>
      </c>
      <c r="Z278" s="1354"/>
      <c r="AA278" s="1001">
        <v>0.54646016369310502</v>
      </c>
      <c r="AB278" s="978"/>
      <c r="AC278" s="1036">
        <f t="shared" si="50"/>
        <v>0.54646016369310502</v>
      </c>
      <c r="AD278" s="783">
        <f t="shared" si="51"/>
        <v>0.54600000000000004</v>
      </c>
      <c r="AE278" s="1321"/>
      <c r="AF278" s="1322"/>
      <c r="AG278" s="740"/>
    </row>
    <row r="279" spans="1:33">
      <c r="A279" s="96">
        <v>300755</v>
      </c>
      <c r="B279" s="1286" t="s">
        <v>386</v>
      </c>
      <c r="C279" s="782">
        <f>'TAR_Tab 2_Volumina'!N282</f>
        <v>1</v>
      </c>
      <c r="D279" s="976"/>
      <c r="E279" s="1318">
        <v>17861.01390568259</v>
      </c>
      <c r="F279" s="1116">
        <f t="shared" si="45"/>
        <v>16996.540832647552</v>
      </c>
      <c r="G279" s="1116">
        <f t="shared" si="46"/>
        <v>17393.767082242914</v>
      </c>
      <c r="H279" s="976"/>
      <c r="I279" s="1117">
        <f t="shared" si="53"/>
        <v>16524.078728130768</v>
      </c>
      <c r="J279" s="1117">
        <f t="shared" si="53"/>
        <v>18263.45543635506</v>
      </c>
      <c r="K279" s="1320"/>
      <c r="L279" s="1000" t="str">
        <f t="shared" si="47"/>
        <v/>
      </c>
      <c r="M279" s="1118">
        <f t="shared" si="48"/>
        <v>17393.767082242914</v>
      </c>
      <c r="N279" s="976"/>
      <c r="O279" s="1119">
        <f t="shared" si="44"/>
        <v>-806.68567480189563</v>
      </c>
      <c r="P279" s="1119">
        <f t="shared" si="52"/>
        <v>834.70472044811856</v>
      </c>
      <c r="Q279" s="1119">
        <f t="shared" si="52"/>
        <v>0</v>
      </c>
      <c r="R279" s="1119">
        <f t="shared" si="52"/>
        <v>31.44541525601797</v>
      </c>
      <c r="S279" s="1119">
        <f t="shared" si="52"/>
        <v>728.26984823413966</v>
      </c>
      <c r="T279" s="1119">
        <f t="shared" si="52"/>
        <v>-95.309108646485171</v>
      </c>
      <c r="U279" s="1119">
        <f t="shared" si="52"/>
        <v>-3.5856362779786122</v>
      </c>
      <c r="V279" s="1119">
        <f t="shared" si="52"/>
        <v>-296.46925773814843</v>
      </c>
      <c r="W279" s="1119">
        <f t="shared" si="52"/>
        <v>23.392442910364515</v>
      </c>
      <c r="X279" s="978"/>
      <c r="Y279" s="1120">
        <f t="shared" si="49"/>
        <v>17809.529831627045</v>
      </c>
      <c r="Z279" s="1354"/>
      <c r="AA279" s="1001">
        <v>9.3759789822925918E-2</v>
      </c>
      <c r="AB279" s="978"/>
      <c r="AC279" s="1036">
        <f t="shared" si="50"/>
        <v>9.3759789822925918E-2</v>
      </c>
      <c r="AD279" s="783">
        <f t="shared" si="51"/>
        <v>9.4E-2</v>
      </c>
      <c r="AE279" s="1321"/>
      <c r="AF279" s="1322"/>
      <c r="AG279" s="740"/>
    </row>
    <row r="280" spans="1:33">
      <c r="A280" s="96">
        <v>300758</v>
      </c>
      <c r="B280" s="1286" t="s">
        <v>387</v>
      </c>
      <c r="C280" s="782">
        <f>'TAR_Tab 2_Volumina'!N283</f>
        <v>1</v>
      </c>
      <c r="D280" s="976"/>
      <c r="E280" s="1318">
        <v>17861.01390568259</v>
      </c>
      <c r="F280" s="1116">
        <f t="shared" si="45"/>
        <v>16996.540832647552</v>
      </c>
      <c r="G280" s="1116">
        <f t="shared" si="46"/>
        <v>17393.767082242914</v>
      </c>
      <c r="H280" s="976"/>
      <c r="I280" s="1117">
        <f t="shared" si="53"/>
        <v>16524.078728130768</v>
      </c>
      <c r="J280" s="1117">
        <f t="shared" si="53"/>
        <v>18263.45543635506</v>
      </c>
      <c r="K280" s="1320"/>
      <c r="L280" s="1000" t="str">
        <f t="shared" si="47"/>
        <v/>
      </c>
      <c r="M280" s="1118">
        <f t="shared" si="48"/>
        <v>17393.767082242914</v>
      </c>
      <c r="N280" s="976"/>
      <c r="O280" s="1119">
        <f t="shared" si="44"/>
        <v>-806.68567480189563</v>
      </c>
      <c r="P280" s="1119">
        <f t="shared" si="52"/>
        <v>834.70472044811856</v>
      </c>
      <c r="Q280" s="1119">
        <f t="shared" si="52"/>
        <v>0</v>
      </c>
      <c r="R280" s="1119">
        <f t="shared" si="52"/>
        <v>31.44541525601797</v>
      </c>
      <c r="S280" s="1119">
        <f t="shared" si="52"/>
        <v>728.26984823413966</v>
      </c>
      <c r="T280" s="1119">
        <f t="shared" si="52"/>
        <v>-95.309108646485171</v>
      </c>
      <c r="U280" s="1119">
        <f t="shared" si="52"/>
        <v>-3.5856362779786122</v>
      </c>
      <c r="V280" s="1119">
        <f t="shared" si="52"/>
        <v>-296.46925773814843</v>
      </c>
      <c r="W280" s="1119">
        <f t="shared" si="52"/>
        <v>23.392442910364515</v>
      </c>
      <c r="X280" s="978"/>
      <c r="Y280" s="1120">
        <f t="shared" si="49"/>
        <v>17809.529831627045</v>
      </c>
      <c r="Z280" s="1354"/>
      <c r="AA280" s="1001">
        <v>0.20655462473975197</v>
      </c>
      <c r="AB280" s="978"/>
      <c r="AC280" s="1036">
        <f t="shared" si="50"/>
        <v>0.20655462473975197</v>
      </c>
      <c r="AD280" s="783">
        <f t="shared" si="51"/>
        <v>0.20699999999999999</v>
      </c>
      <c r="AE280" s="1321"/>
      <c r="AF280" s="1322"/>
      <c r="AG280" s="740"/>
    </row>
    <row r="281" spans="1:33">
      <c r="A281" s="96">
        <v>300767</v>
      </c>
      <c r="B281" s="1286" t="s">
        <v>388</v>
      </c>
      <c r="C281" s="782">
        <f>'TAR_Tab 2_Volumina'!N284</f>
        <v>0</v>
      </c>
      <c r="D281" s="976"/>
      <c r="E281" s="1318">
        <v>0</v>
      </c>
      <c r="F281" s="1116">
        <f t="shared" si="45"/>
        <v>0</v>
      </c>
      <c r="G281" s="1116">
        <f t="shared" si="46"/>
        <v>0</v>
      </c>
      <c r="H281" s="976"/>
      <c r="I281" s="1117">
        <f t="shared" si="53"/>
        <v>0</v>
      </c>
      <c r="J281" s="1117">
        <f t="shared" si="53"/>
        <v>0</v>
      </c>
      <c r="K281" s="1320"/>
      <c r="L281" s="1000" t="str">
        <f t="shared" si="47"/>
        <v/>
      </c>
      <c r="M281" s="1118">
        <f t="shared" si="48"/>
        <v>0</v>
      </c>
      <c r="N281" s="976"/>
      <c r="O281" s="1119">
        <f t="shared" si="44"/>
        <v>0</v>
      </c>
      <c r="P281" s="1119">
        <f t="shared" si="52"/>
        <v>0</v>
      </c>
      <c r="Q281" s="1119">
        <f t="shared" si="52"/>
        <v>0</v>
      </c>
      <c r="R281" s="1119">
        <f t="shared" si="52"/>
        <v>0</v>
      </c>
      <c r="S281" s="1119">
        <f t="shared" si="52"/>
        <v>0</v>
      </c>
      <c r="T281" s="1119">
        <f t="shared" si="52"/>
        <v>0</v>
      </c>
      <c r="U281" s="1119">
        <f t="shared" si="52"/>
        <v>0</v>
      </c>
      <c r="V281" s="1119">
        <f t="shared" si="52"/>
        <v>0</v>
      </c>
      <c r="W281" s="1119">
        <f t="shared" si="52"/>
        <v>0</v>
      </c>
      <c r="X281" s="978"/>
      <c r="Y281" s="1120">
        <f t="shared" si="49"/>
        <v>0</v>
      </c>
      <c r="Z281" s="1354"/>
      <c r="AA281" s="1001">
        <v>0</v>
      </c>
      <c r="AB281" s="978"/>
      <c r="AC281" s="1036">
        <f t="shared" si="50"/>
        <v>0</v>
      </c>
      <c r="AD281" s="783">
        <f t="shared" si="51"/>
        <v>0</v>
      </c>
      <c r="AE281" s="1321"/>
      <c r="AF281" s="1322"/>
      <c r="AG281" s="740"/>
    </row>
    <row r="282" spans="1:33">
      <c r="A282" s="96">
        <v>300768</v>
      </c>
      <c r="B282" s="1286" t="s">
        <v>389</v>
      </c>
      <c r="C282" s="782">
        <f>'TAR_Tab 2_Volumina'!N285</f>
        <v>0</v>
      </c>
      <c r="D282" s="976"/>
      <c r="E282" s="1318">
        <v>0</v>
      </c>
      <c r="F282" s="1116">
        <f t="shared" si="45"/>
        <v>0</v>
      </c>
      <c r="G282" s="1116">
        <f t="shared" si="46"/>
        <v>0</v>
      </c>
      <c r="H282" s="976"/>
      <c r="I282" s="1117">
        <f t="shared" si="53"/>
        <v>0</v>
      </c>
      <c r="J282" s="1117">
        <f t="shared" si="53"/>
        <v>0</v>
      </c>
      <c r="K282" s="1320"/>
      <c r="L282" s="1000" t="str">
        <f t="shared" si="47"/>
        <v/>
      </c>
      <c r="M282" s="1118">
        <f t="shared" si="48"/>
        <v>0</v>
      </c>
      <c r="N282" s="976"/>
      <c r="O282" s="1119">
        <f t="shared" si="44"/>
        <v>0</v>
      </c>
      <c r="P282" s="1119">
        <f t="shared" si="52"/>
        <v>0</v>
      </c>
      <c r="Q282" s="1119">
        <f t="shared" si="52"/>
        <v>0</v>
      </c>
      <c r="R282" s="1119">
        <f t="shared" si="52"/>
        <v>0</v>
      </c>
      <c r="S282" s="1119">
        <f t="shared" si="52"/>
        <v>0</v>
      </c>
      <c r="T282" s="1119">
        <f t="shared" si="52"/>
        <v>0</v>
      </c>
      <c r="U282" s="1119">
        <f t="shared" si="52"/>
        <v>0</v>
      </c>
      <c r="V282" s="1119">
        <f t="shared" si="52"/>
        <v>0</v>
      </c>
      <c r="W282" s="1119">
        <f t="shared" si="52"/>
        <v>0</v>
      </c>
      <c r="X282" s="978"/>
      <c r="Y282" s="1120">
        <f t="shared" si="49"/>
        <v>0</v>
      </c>
      <c r="Z282" s="1354"/>
      <c r="AA282" s="1001">
        <v>0</v>
      </c>
      <c r="AB282" s="978"/>
      <c r="AC282" s="1036">
        <f t="shared" si="50"/>
        <v>0</v>
      </c>
      <c r="AD282" s="783">
        <f t="shared" si="51"/>
        <v>0</v>
      </c>
      <c r="AE282" s="1321"/>
      <c r="AF282" s="1322"/>
      <c r="AG282" s="740"/>
    </row>
    <row r="283" spans="1:33">
      <c r="A283" s="96">
        <v>300771</v>
      </c>
      <c r="B283" s="1286" t="s">
        <v>372</v>
      </c>
      <c r="C283" s="782">
        <f>'TAR_Tab 2_Volumina'!N286</f>
        <v>0</v>
      </c>
      <c r="D283" s="976"/>
      <c r="E283" s="1318">
        <v>0</v>
      </c>
      <c r="F283" s="1116">
        <f t="shared" si="45"/>
        <v>0</v>
      </c>
      <c r="G283" s="1116">
        <f t="shared" si="46"/>
        <v>0</v>
      </c>
      <c r="H283" s="976"/>
      <c r="I283" s="1117">
        <f t="shared" si="53"/>
        <v>0</v>
      </c>
      <c r="J283" s="1117">
        <f t="shared" si="53"/>
        <v>0</v>
      </c>
      <c r="K283" s="1320"/>
      <c r="L283" s="1000" t="str">
        <f t="shared" si="47"/>
        <v/>
      </c>
      <c r="M283" s="1118">
        <f t="shared" si="48"/>
        <v>0</v>
      </c>
      <c r="N283" s="976"/>
      <c r="O283" s="1119">
        <f t="shared" si="44"/>
        <v>0</v>
      </c>
      <c r="P283" s="1119">
        <f t="shared" si="52"/>
        <v>0</v>
      </c>
      <c r="Q283" s="1119">
        <f t="shared" si="52"/>
        <v>0</v>
      </c>
      <c r="R283" s="1119">
        <f t="shared" si="52"/>
        <v>0</v>
      </c>
      <c r="S283" s="1119">
        <f t="shared" si="52"/>
        <v>0</v>
      </c>
      <c r="T283" s="1119">
        <f t="shared" si="52"/>
        <v>0</v>
      </c>
      <c r="U283" s="1119">
        <f t="shared" si="52"/>
        <v>0</v>
      </c>
      <c r="V283" s="1119">
        <f t="shared" si="52"/>
        <v>0</v>
      </c>
      <c r="W283" s="1119">
        <f t="shared" si="52"/>
        <v>0</v>
      </c>
      <c r="X283" s="978"/>
      <c r="Y283" s="1120">
        <f t="shared" si="49"/>
        <v>0</v>
      </c>
      <c r="Z283" s="1354"/>
      <c r="AA283" s="1001">
        <v>0</v>
      </c>
      <c r="AB283" s="978"/>
      <c r="AC283" s="1036">
        <f t="shared" si="50"/>
        <v>0</v>
      </c>
      <c r="AD283" s="783">
        <f t="shared" si="51"/>
        <v>0</v>
      </c>
      <c r="AE283" s="1321"/>
      <c r="AF283" s="1322"/>
      <c r="AG283" s="740"/>
    </row>
    <row r="284" spans="1:33">
      <c r="A284" s="96">
        <v>300772</v>
      </c>
      <c r="B284" s="1286" t="s">
        <v>806</v>
      </c>
      <c r="C284" s="782">
        <f>'TAR_Tab 2_Volumina'!N287</f>
        <v>0</v>
      </c>
      <c r="D284" s="976"/>
      <c r="E284" s="1318">
        <v>0</v>
      </c>
      <c r="F284" s="1116">
        <f t="shared" si="45"/>
        <v>0</v>
      </c>
      <c r="G284" s="1116">
        <f t="shared" si="46"/>
        <v>0</v>
      </c>
      <c r="H284" s="976"/>
      <c r="I284" s="1117">
        <f t="shared" si="53"/>
        <v>0</v>
      </c>
      <c r="J284" s="1117">
        <f t="shared" si="53"/>
        <v>0</v>
      </c>
      <c r="K284" s="1320"/>
      <c r="L284" s="1000" t="str">
        <f t="shared" si="47"/>
        <v/>
      </c>
      <c r="M284" s="1118">
        <f t="shared" si="48"/>
        <v>0</v>
      </c>
      <c r="N284" s="976"/>
      <c r="O284" s="1119">
        <f t="shared" si="44"/>
        <v>0</v>
      </c>
      <c r="P284" s="1119">
        <f t="shared" si="52"/>
        <v>0</v>
      </c>
      <c r="Q284" s="1119">
        <f t="shared" si="52"/>
        <v>0</v>
      </c>
      <c r="R284" s="1119">
        <f t="shared" si="52"/>
        <v>0</v>
      </c>
      <c r="S284" s="1119">
        <f t="shared" si="52"/>
        <v>0</v>
      </c>
      <c r="T284" s="1119">
        <f t="shared" si="52"/>
        <v>0</v>
      </c>
      <c r="U284" s="1119">
        <f t="shared" si="52"/>
        <v>0</v>
      </c>
      <c r="V284" s="1119">
        <f t="shared" si="52"/>
        <v>0</v>
      </c>
      <c r="W284" s="1119">
        <f t="shared" si="52"/>
        <v>0</v>
      </c>
      <c r="X284" s="978"/>
      <c r="Y284" s="1120">
        <f t="shared" si="49"/>
        <v>0</v>
      </c>
      <c r="Z284" s="1354"/>
      <c r="AA284" s="1001">
        <v>0</v>
      </c>
      <c r="AB284" s="978"/>
      <c r="AC284" s="1036">
        <f t="shared" si="50"/>
        <v>0</v>
      </c>
      <c r="AD284" s="783">
        <f t="shared" si="51"/>
        <v>0</v>
      </c>
      <c r="AE284" s="1321"/>
      <c r="AF284" s="1322"/>
      <c r="AG284" s="740"/>
    </row>
    <row r="285" spans="1:33">
      <c r="A285" s="96">
        <v>300773</v>
      </c>
      <c r="B285" s="1286" t="s">
        <v>149</v>
      </c>
      <c r="C285" s="782">
        <f>'TAR_Tab 2_Volumina'!N288</f>
        <v>0</v>
      </c>
      <c r="D285" s="976"/>
      <c r="E285" s="1318">
        <v>0</v>
      </c>
      <c r="F285" s="1116">
        <f t="shared" si="45"/>
        <v>0</v>
      </c>
      <c r="G285" s="1116">
        <f t="shared" si="46"/>
        <v>0</v>
      </c>
      <c r="H285" s="976"/>
      <c r="I285" s="1117">
        <f t="shared" si="53"/>
        <v>0</v>
      </c>
      <c r="J285" s="1117">
        <f t="shared" si="53"/>
        <v>0</v>
      </c>
      <c r="K285" s="1320"/>
      <c r="L285" s="1000" t="str">
        <f t="shared" si="47"/>
        <v/>
      </c>
      <c r="M285" s="1118">
        <f t="shared" si="48"/>
        <v>0</v>
      </c>
      <c r="N285" s="976"/>
      <c r="O285" s="1119">
        <f t="shared" si="44"/>
        <v>0</v>
      </c>
      <c r="P285" s="1119">
        <f t="shared" si="52"/>
        <v>0</v>
      </c>
      <c r="Q285" s="1119">
        <f t="shared" si="52"/>
        <v>0</v>
      </c>
      <c r="R285" s="1119">
        <f t="shared" si="52"/>
        <v>0</v>
      </c>
      <c r="S285" s="1119">
        <f t="shared" si="52"/>
        <v>0</v>
      </c>
      <c r="T285" s="1119">
        <f t="shared" si="52"/>
        <v>0</v>
      </c>
      <c r="U285" s="1119">
        <f t="shared" si="52"/>
        <v>0</v>
      </c>
      <c r="V285" s="1119">
        <f t="shared" si="52"/>
        <v>0</v>
      </c>
      <c r="W285" s="1119">
        <f t="shared" si="52"/>
        <v>0</v>
      </c>
      <c r="X285" s="978"/>
      <c r="Y285" s="1120">
        <f t="shared" si="49"/>
        <v>0</v>
      </c>
      <c r="Z285" s="1354"/>
      <c r="AA285" s="1001">
        <v>0</v>
      </c>
      <c r="AB285" s="978"/>
      <c r="AC285" s="1036">
        <f t="shared" si="50"/>
        <v>0</v>
      </c>
      <c r="AD285" s="783">
        <f t="shared" si="51"/>
        <v>0</v>
      </c>
      <c r="AE285" s="1321"/>
      <c r="AF285" s="1322"/>
      <c r="AG285" s="740"/>
    </row>
    <row r="286" spans="1:33">
      <c r="A286" s="96">
        <v>300779</v>
      </c>
      <c r="B286" s="1286" t="s">
        <v>807</v>
      </c>
      <c r="C286" s="782">
        <f>'TAR_Tab 2_Volumina'!N289</f>
        <v>0</v>
      </c>
      <c r="D286" s="976"/>
      <c r="E286" s="1318">
        <v>0</v>
      </c>
      <c r="F286" s="1116">
        <f t="shared" si="45"/>
        <v>0</v>
      </c>
      <c r="G286" s="1116">
        <f t="shared" si="46"/>
        <v>0</v>
      </c>
      <c r="H286" s="976"/>
      <c r="I286" s="1117">
        <f t="shared" si="53"/>
        <v>0</v>
      </c>
      <c r="J286" s="1117">
        <f t="shared" si="53"/>
        <v>0</v>
      </c>
      <c r="K286" s="1320"/>
      <c r="L286" s="1000" t="str">
        <f t="shared" si="47"/>
        <v/>
      </c>
      <c r="M286" s="1118">
        <f t="shared" si="48"/>
        <v>0</v>
      </c>
      <c r="N286" s="976"/>
      <c r="O286" s="1119">
        <f t="shared" si="44"/>
        <v>0</v>
      </c>
      <c r="P286" s="1119">
        <f t="shared" si="52"/>
        <v>0</v>
      </c>
      <c r="Q286" s="1119">
        <f t="shared" si="52"/>
        <v>0</v>
      </c>
      <c r="R286" s="1119">
        <f t="shared" si="52"/>
        <v>0</v>
      </c>
      <c r="S286" s="1119">
        <f t="shared" si="52"/>
        <v>0</v>
      </c>
      <c r="T286" s="1119">
        <f t="shared" si="52"/>
        <v>0</v>
      </c>
      <c r="U286" s="1119">
        <f t="shared" si="52"/>
        <v>0</v>
      </c>
      <c r="V286" s="1119">
        <f t="shared" si="52"/>
        <v>0</v>
      </c>
      <c r="W286" s="1119">
        <f t="shared" si="52"/>
        <v>0</v>
      </c>
      <c r="X286" s="978"/>
      <c r="Y286" s="1120">
        <f t="shared" si="49"/>
        <v>0</v>
      </c>
      <c r="Z286" s="1354"/>
      <c r="AA286" s="1001">
        <v>0</v>
      </c>
      <c r="AB286" s="978"/>
      <c r="AC286" s="1036">
        <f t="shared" si="50"/>
        <v>0</v>
      </c>
      <c r="AD286" s="783">
        <f t="shared" si="51"/>
        <v>0</v>
      </c>
      <c r="AE286" s="1321"/>
      <c r="AF286" s="1322"/>
      <c r="AG286" s="740"/>
    </row>
    <row r="287" spans="1:33">
      <c r="A287" s="96">
        <v>300784</v>
      </c>
      <c r="B287" s="1286" t="s">
        <v>390</v>
      </c>
      <c r="C287" s="782">
        <f>'TAR_Tab 2_Volumina'!N290</f>
        <v>0</v>
      </c>
      <c r="D287" s="976"/>
      <c r="E287" s="1318">
        <v>0</v>
      </c>
      <c r="F287" s="1116">
        <f t="shared" si="45"/>
        <v>0</v>
      </c>
      <c r="G287" s="1116">
        <f t="shared" si="46"/>
        <v>0</v>
      </c>
      <c r="H287" s="976"/>
      <c r="I287" s="1117">
        <f t="shared" si="53"/>
        <v>0</v>
      </c>
      <c r="J287" s="1117">
        <f t="shared" si="53"/>
        <v>0</v>
      </c>
      <c r="K287" s="1320"/>
      <c r="L287" s="1000" t="str">
        <f t="shared" si="47"/>
        <v/>
      </c>
      <c r="M287" s="1118">
        <f t="shared" si="48"/>
        <v>0</v>
      </c>
      <c r="N287" s="976"/>
      <c r="O287" s="1119">
        <f t="shared" si="44"/>
        <v>0</v>
      </c>
      <c r="P287" s="1119">
        <f t="shared" si="52"/>
        <v>0</v>
      </c>
      <c r="Q287" s="1119">
        <f t="shared" si="52"/>
        <v>0</v>
      </c>
      <c r="R287" s="1119">
        <f t="shared" si="52"/>
        <v>0</v>
      </c>
      <c r="S287" s="1119">
        <f t="shared" si="52"/>
        <v>0</v>
      </c>
      <c r="T287" s="1119">
        <f t="shared" si="52"/>
        <v>0</v>
      </c>
      <c r="U287" s="1119">
        <f t="shared" si="52"/>
        <v>0</v>
      </c>
      <c r="V287" s="1119">
        <f t="shared" si="52"/>
        <v>0</v>
      </c>
      <c r="W287" s="1119">
        <f t="shared" si="52"/>
        <v>0</v>
      </c>
      <c r="X287" s="978"/>
      <c r="Y287" s="1120">
        <f t="shared" si="49"/>
        <v>0</v>
      </c>
      <c r="Z287" s="1354"/>
      <c r="AA287" s="1001">
        <v>0</v>
      </c>
      <c r="AB287" s="978"/>
      <c r="AC287" s="1036">
        <f t="shared" si="50"/>
        <v>0</v>
      </c>
      <c r="AD287" s="783">
        <f t="shared" si="51"/>
        <v>0</v>
      </c>
      <c r="AE287" s="1321"/>
      <c r="AF287" s="1322"/>
      <c r="AG287" s="740"/>
    </row>
    <row r="288" spans="1:33">
      <c r="A288" s="96">
        <v>300785</v>
      </c>
      <c r="B288" s="1286" t="s">
        <v>536</v>
      </c>
      <c r="C288" s="782">
        <f>'TAR_Tab 2_Volumina'!N291</f>
        <v>0</v>
      </c>
      <c r="D288" s="976"/>
      <c r="E288" s="1318">
        <v>0</v>
      </c>
      <c r="F288" s="1116">
        <f t="shared" si="45"/>
        <v>0</v>
      </c>
      <c r="G288" s="1116">
        <f t="shared" si="46"/>
        <v>0</v>
      </c>
      <c r="H288" s="976"/>
      <c r="I288" s="1117">
        <f t="shared" si="53"/>
        <v>0</v>
      </c>
      <c r="J288" s="1117">
        <f t="shared" si="53"/>
        <v>0</v>
      </c>
      <c r="K288" s="1320"/>
      <c r="L288" s="1000" t="str">
        <f t="shared" si="47"/>
        <v/>
      </c>
      <c r="M288" s="1118">
        <f t="shared" si="48"/>
        <v>0</v>
      </c>
      <c r="N288" s="976"/>
      <c r="O288" s="1119">
        <f t="shared" si="44"/>
        <v>0</v>
      </c>
      <c r="P288" s="1119">
        <f t="shared" si="52"/>
        <v>0</v>
      </c>
      <c r="Q288" s="1119">
        <f t="shared" si="52"/>
        <v>0</v>
      </c>
      <c r="R288" s="1119">
        <f t="shared" si="52"/>
        <v>0</v>
      </c>
      <c r="S288" s="1119">
        <f t="shared" si="52"/>
        <v>0</v>
      </c>
      <c r="T288" s="1119">
        <f t="shared" si="52"/>
        <v>0</v>
      </c>
      <c r="U288" s="1119">
        <f t="shared" si="52"/>
        <v>0</v>
      </c>
      <c r="V288" s="1119">
        <f t="shared" si="52"/>
        <v>0</v>
      </c>
      <c r="W288" s="1119">
        <f t="shared" si="52"/>
        <v>0</v>
      </c>
      <c r="X288" s="978"/>
      <c r="Y288" s="1120">
        <f t="shared" si="49"/>
        <v>0</v>
      </c>
      <c r="Z288" s="1354"/>
      <c r="AA288" s="1001">
        <v>0</v>
      </c>
      <c r="AB288" s="978"/>
      <c r="AC288" s="1036">
        <f t="shared" si="50"/>
        <v>0</v>
      </c>
      <c r="AD288" s="783">
        <f t="shared" si="51"/>
        <v>0</v>
      </c>
      <c r="AE288" s="1321"/>
      <c r="AF288" s="1322"/>
      <c r="AG288" s="740"/>
    </row>
    <row r="289" spans="1:33">
      <c r="A289" s="96">
        <v>300786</v>
      </c>
      <c r="B289" s="1286" t="s">
        <v>391</v>
      </c>
      <c r="C289" s="782">
        <f>'TAR_Tab 2_Volumina'!N292</f>
        <v>0</v>
      </c>
      <c r="D289" s="976"/>
      <c r="E289" s="1318">
        <v>0</v>
      </c>
      <c r="F289" s="1116">
        <f t="shared" si="45"/>
        <v>0</v>
      </c>
      <c r="G289" s="1116">
        <f t="shared" si="46"/>
        <v>0</v>
      </c>
      <c r="H289" s="976"/>
      <c r="I289" s="1117">
        <f t="shared" si="53"/>
        <v>0</v>
      </c>
      <c r="J289" s="1117">
        <f t="shared" si="53"/>
        <v>0</v>
      </c>
      <c r="K289" s="1320"/>
      <c r="L289" s="1000" t="str">
        <f t="shared" si="47"/>
        <v/>
      </c>
      <c r="M289" s="1118">
        <f t="shared" si="48"/>
        <v>0</v>
      </c>
      <c r="N289" s="976"/>
      <c r="O289" s="1119">
        <f t="shared" si="44"/>
        <v>0</v>
      </c>
      <c r="P289" s="1119">
        <f t="shared" si="52"/>
        <v>0</v>
      </c>
      <c r="Q289" s="1119">
        <f t="shared" si="52"/>
        <v>0</v>
      </c>
      <c r="R289" s="1119">
        <f t="shared" si="52"/>
        <v>0</v>
      </c>
      <c r="S289" s="1119">
        <f t="shared" si="52"/>
        <v>0</v>
      </c>
      <c r="T289" s="1119">
        <f t="shared" si="52"/>
        <v>0</v>
      </c>
      <c r="U289" s="1119">
        <f t="shared" si="52"/>
        <v>0</v>
      </c>
      <c r="V289" s="1119">
        <f t="shared" si="52"/>
        <v>0</v>
      </c>
      <c r="W289" s="1119">
        <f t="shared" si="52"/>
        <v>0</v>
      </c>
      <c r="X289" s="978"/>
      <c r="Y289" s="1120">
        <f t="shared" si="49"/>
        <v>0</v>
      </c>
      <c r="Z289" s="1354"/>
      <c r="AA289" s="1001">
        <v>0</v>
      </c>
      <c r="AB289" s="978"/>
      <c r="AC289" s="1036">
        <f t="shared" si="50"/>
        <v>0</v>
      </c>
      <c r="AD289" s="783">
        <f t="shared" si="51"/>
        <v>0</v>
      </c>
      <c r="AE289" s="1321"/>
      <c r="AF289" s="1322"/>
      <c r="AG289" s="740"/>
    </row>
    <row r="290" spans="1:33">
      <c r="A290" s="96">
        <v>300790</v>
      </c>
      <c r="B290" s="1286" t="s">
        <v>392</v>
      </c>
      <c r="C290" s="782">
        <f>'TAR_Tab 2_Volumina'!N293</f>
        <v>1</v>
      </c>
      <c r="D290" s="976"/>
      <c r="E290" s="1318">
        <v>17861.01390568259</v>
      </c>
      <c r="F290" s="1116">
        <f t="shared" si="45"/>
        <v>16996.540832647552</v>
      </c>
      <c r="G290" s="1116">
        <f t="shared" si="46"/>
        <v>17393.767082242914</v>
      </c>
      <c r="H290" s="976"/>
      <c r="I290" s="1117">
        <f t="shared" si="53"/>
        <v>16524.078728130768</v>
      </c>
      <c r="J290" s="1117">
        <f t="shared" si="53"/>
        <v>18263.45543635506</v>
      </c>
      <c r="K290" s="1320"/>
      <c r="L290" s="1000" t="str">
        <f t="shared" si="47"/>
        <v/>
      </c>
      <c r="M290" s="1118">
        <f t="shared" si="48"/>
        <v>17393.767082242914</v>
      </c>
      <c r="N290" s="976"/>
      <c r="O290" s="1119">
        <f t="shared" si="44"/>
        <v>-806.68567480189563</v>
      </c>
      <c r="P290" s="1119">
        <f t="shared" si="52"/>
        <v>834.70472044811856</v>
      </c>
      <c r="Q290" s="1119">
        <f t="shared" si="52"/>
        <v>0</v>
      </c>
      <c r="R290" s="1119">
        <f t="shared" si="52"/>
        <v>31.44541525601797</v>
      </c>
      <c r="S290" s="1119">
        <f t="shared" si="52"/>
        <v>728.26984823413966</v>
      </c>
      <c r="T290" s="1119">
        <f t="shared" si="52"/>
        <v>-95.309108646485171</v>
      </c>
      <c r="U290" s="1119">
        <f t="shared" si="52"/>
        <v>-3.5856362779786122</v>
      </c>
      <c r="V290" s="1119">
        <f t="shared" si="52"/>
        <v>-296.46925773814843</v>
      </c>
      <c r="W290" s="1119">
        <f t="shared" si="52"/>
        <v>23.392442910364515</v>
      </c>
      <c r="X290" s="978"/>
      <c r="Y290" s="1120">
        <f t="shared" si="49"/>
        <v>17809.529831627045</v>
      </c>
      <c r="Z290" s="1354"/>
      <c r="AA290" s="1001">
        <v>5.6551355567847475E-2</v>
      </c>
      <c r="AB290" s="978"/>
      <c r="AC290" s="1036">
        <f t="shared" si="50"/>
        <v>5.6551355567847475E-2</v>
      </c>
      <c r="AD290" s="783">
        <f t="shared" si="51"/>
        <v>5.7000000000000002E-2</v>
      </c>
      <c r="AE290" s="1321"/>
      <c r="AF290" s="1322"/>
      <c r="AG290" s="740"/>
    </row>
    <row r="291" spans="1:33">
      <c r="A291" s="96">
        <v>300791</v>
      </c>
      <c r="B291" s="1286" t="s">
        <v>298</v>
      </c>
      <c r="C291" s="782">
        <f>'TAR_Tab 2_Volumina'!N294</f>
        <v>0</v>
      </c>
      <c r="D291" s="976"/>
      <c r="E291" s="1318">
        <v>0</v>
      </c>
      <c r="F291" s="1116">
        <f t="shared" si="45"/>
        <v>0</v>
      </c>
      <c r="G291" s="1116">
        <f t="shared" si="46"/>
        <v>0</v>
      </c>
      <c r="H291" s="976"/>
      <c r="I291" s="1117">
        <f t="shared" si="53"/>
        <v>0</v>
      </c>
      <c r="J291" s="1117">
        <f t="shared" si="53"/>
        <v>0</v>
      </c>
      <c r="K291" s="1320"/>
      <c r="L291" s="1000" t="str">
        <f t="shared" si="47"/>
        <v/>
      </c>
      <c r="M291" s="1118">
        <f t="shared" si="48"/>
        <v>0</v>
      </c>
      <c r="N291" s="976"/>
      <c r="O291" s="1119">
        <f t="shared" si="44"/>
        <v>0</v>
      </c>
      <c r="P291" s="1119">
        <f t="shared" si="52"/>
        <v>0</v>
      </c>
      <c r="Q291" s="1119">
        <f t="shared" si="52"/>
        <v>0</v>
      </c>
      <c r="R291" s="1119">
        <f t="shared" si="52"/>
        <v>0</v>
      </c>
      <c r="S291" s="1119">
        <f t="shared" si="52"/>
        <v>0</v>
      </c>
      <c r="T291" s="1119">
        <f t="shared" si="52"/>
        <v>0</v>
      </c>
      <c r="U291" s="1119">
        <f t="shared" si="52"/>
        <v>0</v>
      </c>
      <c r="V291" s="1119">
        <f t="shared" si="52"/>
        <v>0</v>
      </c>
      <c r="W291" s="1119">
        <f t="shared" si="52"/>
        <v>0</v>
      </c>
      <c r="X291" s="978"/>
      <c r="Y291" s="1120">
        <f t="shared" si="49"/>
        <v>0</v>
      </c>
      <c r="Z291" s="1354"/>
      <c r="AA291" s="1001">
        <v>0</v>
      </c>
      <c r="AB291" s="978"/>
      <c r="AC291" s="1036">
        <f t="shared" si="50"/>
        <v>0</v>
      </c>
      <c r="AD291" s="783">
        <f t="shared" si="51"/>
        <v>0</v>
      </c>
      <c r="AE291" s="1321"/>
      <c r="AF291" s="1322"/>
      <c r="AG291" s="740"/>
    </row>
    <row r="292" spans="1:33">
      <c r="A292" s="96">
        <v>300792</v>
      </c>
      <c r="B292" s="1286" t="s">
        <v>393</v>
      </c>
      <c r="C292" s="782">
        <f>'TAR_Tab 2_Volumina'!N295</f>
        <v>1</v>
      </c>
      <c r="D292" s="976"/>
      <c r="E292" s="1318">
        <v>17861.01390568259</v>
      </c>
      <c r="F292" s="1116">
        <f t="shared" si="45"/>
        <v>16996.540832647552</v>
      </c>
      <c r="G292" s="1116">
        <f t="shared" si="46"/>
        <v>17393.767082242914</v>
      </c>
      <c r="H292" s="976"/>
      <c r="I292" s="1117">
        <f t="shared" si="53"/>
        <v>16524.078728130768</v>
      </c>
      <c r="J292" s="1117">
        <f t="shared" si="53"/>
        <v>18263.45543635506</v>
      </c>
      <c r="K292" s="1320"/>
      <c r="L292" s="1000" t="str">
        <f t="shared" si="47"/>
        <v/>
      </c>
      <c r="M292" s="1118">
        <f t="shared" si="48"/>
        <v>17393.767082242914</v>
      </c>
      <c r="N292" s="976"/>
      <c r="O292" s="1119">
        <f t="shared" si="44"/>
        <v>-806.68567480189563</v>
      </c>
      <c r="P292" s="1119">
        <f t="shared" si="52"/>
        <v>834.70472044811856</v>
      </c>
      <c r="Q292" s="1119">
        <f t="shared" si="52"/>
        <v>0</v>
      </c>
      <c r="R292" s="1119">
        <f t="shared" si="52"/>
        <v>31.44541525601797</v>
      </c>
      <c r="S292" s="1119">
        <f t="shared" si="52"/>
        <v>728.26984823413966</v>
      </c>
      <c r="T292" s="1119">
        <f t="shared" si="52"/>
        <v>-95.309108646485171</v>
      </c>
      <c r="U292" s="1119">
        <f t="shared" si="52"/>
        <v>-3.5856362779786122</v>
      </c>
      <c r="V292" s="1119">
        <f t="shared" si="52"/>
        <v>-296.46925773814843</v>
      </c>
      <c r="W292" s="1119">
        <f t="shared" si="52"/>
        <v>23.392442910364515</v>
      </c>
      <c r="X292" s="978"/>
      <c r="Y292" s="1120">
        <f t="shared" si="49"/>
        <v>17809.529831627045</v>
      </c>
      <c r="Z292" s="1354"/>
      <c r="AA292" s="1001">
        <v>0.15545987557464286</v>
      </c>
      <c r="AB292" s="978"/>
      <c r="AC292" s="1036">
        <f t="shared" si="50"/>
        <v>0.15545987557464286</v>
      </c>
      <c r="AD292" s="783">
        <f t="shared" si="51"/>
        <v>0.155</v>
      </c>
      <c r="AE292" s="1321"/>
      <c r="AF292" s="1322"/>
      <c r="AG292" s="740"/>
    </row>
    <row r="293" spans="1:33">
      <c r="A293" s="96">
        <v>300794</v>
      </c>
      <c r="B293" s="1286" t="s">
        <v>394</v>
      </c>
      <c r="C293" s="782">
        <f>'TAR_Tab 2_Volumina'!N296</f>
        <v>1</v>
      </c>
      <c r="D293" s="976"/>
      <c r="E293" s="1318">
        <v>17861.01390568259</v>
      </c>
      <c r="F293" s="1116">
        <f t="shared" si="45"/>
        <v>16996.540832647552</v>
      </c>
      <c r="G293" s="1116">
        <f t="shared" si="46"/>
        <v>17393.767082242914</v>
      </c>
      <c r="H293" s="976"/>
      <c r="I293" s="1117">
        <f t="shared" si="53"/>
        <v>16524.078728130768</v>
      </c>
      <c r="J293" s="1117">
        <f t="shared" si="53"/>
        <v>18263.45543635506</v>
      </c>
      <c r="K293" s="1320"/>
      <c r="L293" s="1000" t="str">
        <f t="shared" si="47"/>
        <v/>
      </c>
      <c r="M293" s="1118">
        <f t="shared" si="48"/>
        <v>17393.767082242914</v>
      </c>
      <c r="N293" s="976"/>
      <c r="O293" s="1119">
        <f t="shared" si="44"/>
        <v>-806.68567480189563</v>
      </c>
      <c r="P293" s="1119">
        <f t="shared" si="52"/>
        <v>834.70472044811856</v>
      </c>
      <c r="Q293" s="1119">
        <f t="shared" si="52"/>
        <v>0</v>
      </c>
      <c r="R293" s="1119">
        <f t="shared" si="52"/>
        <v>31.44541525601797</v>
      </c>
      <c r="S293" s="1119">
        <f t="shared" si="52"/>
        <v>728.26984823413966</v>
      </c>
      <c r="T293" s="1119">
        <f t="shared" si="52"/>
        <v>-95.309108646485171</v>
      </c>
      <c r="U293" s="1119">
        <f t="shared" si="52"/>
        <v>-3.5856362779786122</v>
      </c>
      <c r="V293" s="1119">
        <f t="shared" si="52"/>
        <v>-296.46925773814843</v>
      </c>
      <c r="W293" s="1119">
        <f t="shared" si="52"/>
        <v>23.392442910364515</v>
      </c>
      <c r="X293" s="978"/>
      <c r="Y293" s="1120">
        <f t="shared" si="49"/>
        <v>17809.529831627045</v>
      </c>
      <c r="Z293" s="1354"/>
      <c r="AA293" s="1001">
        <v>1.0889750387825785</v>
      </c>
      <c r="AB293" s="978"/>
      <c r="AC293" s="1036">
        <f t="shared" si="50"/>
        <v>1.0889750387825785</v>
      </c>
      <c r="AD293" s="783">
        <f t="shared" si="51"/>
        <v>1.089</v>
      </c>
      <c r="AE293" s="1321"/>
      <c r="AF293" s="1322"/>
      <c r="AG293" s="740"/>
    </row>
    <row r="294" spans="1:33">
      <c r="A294" s="96">
        <v>300795</v>
      </c>
      <c r="B294" s="1286" t="s">
        <v>395</v>
      </c>
      <c r="C294" s="782">
        <f>'TAR_Tab 2_Volumina'!N297</f>
        <v>0</v>
      </c>
      <c r="D294" s="976"/>
      <c r="E294" s="1318">
        <v>0</v>
      </c>
      <c r="F294" s="1116">
        <f t="shared" si="45"/>
        <v>0</v>
      </c>
      <c r="G294" s="1116">
        <f t="shared" si="46"/>
        <v>0</v>
      </c>
      <c r="H294" s="976"/>
      <c r="I294" s="1117">
        <f t="shared" si="53"/>
        <v>0</v>
      </c>
      <c r="J294" s="1117">
        <f t="shared" si="53"/>
        <v>0</v>
      </c>
      <c r="K294" s="1320"/>
      <c r="L294" s="1000" t="str">
        <f t="shared" si="47"/>
        <v/>
      </c>
      <c r="M294" s="1118">
        <f t="shared" si="48"/>
        <v>0</v>
      </c>
      <c r="N294" s="976"/>
      <c r="O294" s="1119">
        <f t="shared" si="44"/>
        <v>0</v>
      </c>
      <c r="P294" s="1119">
        <f t="shared" si="52"/>
        <v>0</v>
      </c>
      <c r="Q294" s="1119">
        <f t="shared" si="52"/>
        <v>0</v>
      </c>
      <c r="R294" s="1119">
        <f t="shared" si="52"/>
        <v>0</v>
      </c>
      <c r="S294" s="1119">
        <f t="shared" si="52"/>
        <v>0</v>
      </c>
      <c r="T294" s="1119">
        <f t="shared" si="52"/>
        <v>0</v>
      </c>
      <c r="U294" s="1119">
        <f t="shared" si="52"/>
        <v>0</v>
      </c>
      <c r="V294" s="1119">
        <f t="shared" si="52"/>
        <v>0</v>
      </c>
      <c r="W294" s="1119">
        <f t="shared" si="52"/>
        <v>0</v>
      </c>
      <c r="X294" s="978"/>
      <c r="Y294" s="1120">
        <f t="shared" si="49"/>
        <v>0</v>
      </c>
      <c r="Z294" s="1354"/>
      <c r="AA294" s="1001">
        <v>0</v>
      </c>
      <c r="AB294" s="978"/>
      <c r="AC294" s="1036">
        <f t="shared" si="50"/>
        <v>0</v>
      </c>
      <c r="AD294" s="783">
        <f t="shared" si="51"/>
        <v>0</v>
      </c>
      <c r="AE294" s="1321"/>
      <c r="AF294" s="1322"/>
      <c r="AG294" s="740"/>
    </row>
    <row r="295" spans="1:33">
      <c r="A295" s="96">
        <v>300798</v>
      </c>
      <c r="B295" s="1286" t="s">
        <v>299</v>
      </c>
      <c r="C295" s="782">
        <f>'TAR_Tab 2_Volumina'!N298</f>
        <v>0</v>
      </c>
      <c r="D295" s="976"/>
      <c r="E295" s="1318">
        <v>0</v>
      </c>
      <c r="F295" s="1116">
        <f t="shared" si="45"/>
        <v>0</v>
      </c>
      <c r="G295" s="1116">
        <f t="shared" si="46"/>
        <v>0</v>
      </c>
      <c r="H295" s="976"/>
      <c r="I295" s="1117">
        <f t="shared" si="53"/>
        <v>0</v>
      </c>
      <c r="J295" s="1117">
        <f t="shared" si="53"/>
        <v>0</v>
      </c>
      <c r="K295" s="1320"/>
      <c r="L295" s="1000" t="str">
        <f t="shared" si="47"/>
        <v/>
      </c>
      <c r="M295" s="1118">
        <f t="shared" si="48"/>
        <v>0</v>
      </c>
      <c r="N295" s="976"/>
      <c r="O295" s="1119">
        <f t="shared" si="44"/>
        <v>0</v>
      </c>
      <c r="P295" s="1119">
        <f t="shared" si="52"/>
        <v>0</v>
      </c>
      <c r="Q295" s="1119">
        <f t="shared" si="52"/>
        <v>0</v>
      </c>
      <c r="R295" s="1119">
        <f t="shared" si="52"/>
        <v>0</v>
      </c>
      <c r="S295" s="1119">
        <f t="shared" si="52"/>
        <v>0</v>
      </c>
      <c r="T295" s="1119">
        <f t="shared" si="52"/>
        <v>0</v>
      </c>
      <c r="U295" s="1119">
        <f t="shared" si="52"/>
        <v>0</v>
      </c>
      <c r="V295" s="1119">
        <f t="shared" si="52"/>
        <v>0</v>
      </c>
      <c r="W295" s="1119">
        <f t="shared" si="52"/>
        <v>0</v>
      </c>
      <c r="X295" s="978"/>
      <c r="Y295" s="1120">
        <f t="shared" si="49"/>
        <v>0</v>
      </c>
      <c r="Z295" s="1354"/>
      <c r="AA295" s="1001">
        <v>0</v>
      </c>
      <c r="AB295" s="978"/>
      <c r="AC295" s="1036">
        <f t="shared" si="50"/>
        <v>0</v>
      </c>
      <c r="AD295" s="783">
        <f t="shared" si="51"/>
        <v>0</v>
      </c>
      <c r="AE295" s="1321"/>
      <c r="AF295" s="1322"/>
      <c r="AG295" s="740"/>
    </row>
    <row r="296" spans="1:33">
      <c r="A296" s="96">
        <v>300800</v>
      </c>
      <c r="B296" s="1286" t="s">
        <v>396</v>
      </c>
      <c r="C296" s="782">
        <f>'TAR_Tab 2_Volumina'!N299</f>
        <v>0</v>
      </c>
      <c r="D296" s="976"/>
      <c r="E296" s="1318">
        <v>0</v>
      </c>
      <c r="F296" s="1116">
        <f t="shared" si="45"/>
        <v>0</v>
      </c>
      <c r="G296" s="1116">
        <f t="shared" si="46"/>
        <v>0</v>
      </c>
      <c r="H296" s="976"/>
      <c r="I296" s="1117">
        <f t="shared" si="53"/>
        <v>0</v>
      </c>
      <c r="J296" s="1117">
        <f t="shared" si="53"/>
        <v>0</v>
      </c>
      <c r="K296" s="1320"/>
      <c r="L296" s="1000" t="str">
        <f t="shared" si="47"/>
        <v/>
      </c>
      <c r="M296" s="1118">
        <f t="shared" si="48"/>
        <v>0</v>
      </c>
      <c r="N296" s="976"/>
      <c r="O296" s="1119">
        <f t="shared" si="44"/>
        <v>0</v>
      </c>
      <c r="P296" s="1119">
        <f t="shared" si="52"/>
        <v>0</v>
      </c>
      <c r="Q296" s="1119">
        <f t="shared" si="52"/>
        <v>0</v>
      </c>
      <c r="R296" s="1119">
        <f t="shared" si="52"/>
        <v>0</v>
      </c>
      <c r="S296" s="1119">
        <f t="shared" si="52"/>
        <v>0</v>
      </c>
      <c r="T296" s="1119">
        <f t="shared" si="52"/>
        <v>0</v>
      </c>
      <c r="U296" s="1119">
        <f t="shared" si="52"/>
        <v>0</v>
      </c>
      <c r="V296" s="1119">
        <f t="shared" si="52"/>
        <v>0</v>
      </c>
      <c r="W296" s="1119">
        <f t="shared" si="52"/>
        <v>0</v>
      </c>
      <c r="X296" s="978"/>
      <c r="Y296" s="1120">
        <f t="shared" si="49"/>
        <v>0</v>
      </c>
      <c r="Z296" s="1354"/>
      <c r="AA296" s="1001">
        <v>0</v>
      </c>
      <c r="AB296" s="978"/>
      <c r="AC296" s="1036">
        <f t="shared" si="50"/>
        <v>0</v>
      </c>
      <c r="AD296" s="783">
        <f t="shared" si="51"/>
        <v>0</v>
      </c>
      <c r="AE296" s="1321"/>
      <c r="AF296" s="1322"/>
      <c r="AG296" s="740"/>
    </row>
    <row r="297" spans="1:33">
      <c r="A297" s="96">
        <v>300801</v>
      </c>
      <c r="B297" s="1286" t="s">
        <v>1202</v>
      </c>
      <c r="C297" s="782">
        <f>'TAR_Tab 2_Volumina'!N300</f>
        <v>0</v>
      </c>
      <c r="D297" s="976"/>
      <c r="E297" s="1318">
        <v>0</v>
      </c>
      <c r="F297" s="1116">
        <f t="shared" si="45"/>
        <v>0</v>
      </c>
      <c r="G297" s="1116">
        <f t="shared" si="46"/>
        <v>0</v>
      </c>
      <c r="H297" s="976"/>
      <c r="I297" s="1117">
        <f t="shared" si="53"/>
        <v>0</v>
      </c>
      <c r="J297" s="1117">
        <f t="shared" si="53"/>
        <v>0</v>
      </c>
      <c r="K297" s="1320"/>
      <c r="L297" s="1000" t="str">
        <f t="shared" si="47"/>
        <v/>
      </c>
      <c r="M297" s="1118">
        <f t="shared" si="48"/>
        <v>0</v>
      </c>
      <c r="N297" s="976"/>
      <c r="O297" s="1119">
        <f t="shared" si="44"/>
        <v>0</v>
      </c>
      <c r="P297" s="1119">
        <f t="shared" si="52"/>
        <v>0</v>
      </c>
      <c r="Q297" s="1119">
        <f t="shared" si="52"/>
        <v>0</v>
      </c>
      <c r="R297" s="1119">
        <f t="shared" si="52"/>
        <v>0</v>
      </c>
      <c r="S297" s="1119">
        <f t="shared" si="52"/>
        <v>0</v>
      </c>
      <c r="T297" s="1119">
        <f t="shared" si="52"/>
        <v>0</v>
      </c>
      <c r="U297" s="1119">
        <f t="shared" ref="P297:W329" si="54">$M297*U$5</f>
        <v>0</v>
      </c>
      <c r="V297" s="1119">
        <f t="shared" si="54"/>
        <v>0</v>
      </c>
      <c r="W297" s="1119">
        <f t="shared" si="54"/>
        <v>0</v>
      </c>
      <c r="X297" s="978"/>
      <c r="Y297" s="1120">
        <f t="shared" si="49"/>
        <v>0</v>
      </c>
      <c r="Z297" s="1354"/>
      <c r="AA297" s="1001">
        <v>0</v>
      </c>
      <c r="AB297" s="978"/>
      <c r="AC297" s="1036">
        <f t="shared" si="50"/>
        <v>0</v>
      </c>
      <c r="AD297" s="783">
        <f t="shared" si="51"/>
        <v>0</v>
      </c>
      <c r="AE297" s="1321"/>
      <c r="AF297" s="1322"/>
      <c r="AG297" s="740"/>
    </row>
    <row r="298" spans="1:33">
      <c r="A298" s="96">
        <v>300802</v>
      </c>
      <c r="B298" s="1286" t="s">
        <v>397</v>
      </c>
      <c r="C298" s="782">
        <f>'TAR_Tab 2_Volumina'!N301</f>
        <v>1</v>
      </c>
      <c r="D298" s="976"/>
      <c r="E298" s="1318">
        <v>17861.01390568259</v>
      </c>
      <c r="F298" s="1116">
        <f t="shared" si="45"/>
        <v>16996.540832647552</v>
      </c>
      <c r="G298" s="1116">
        <f t="shared" si="46"/>
        <v>17393.767082242914</v>
      </c>
      <c r="H298" s="976"/>
      <c r="I298" s="1117">
        <f t="shared" si="53"/>
        <v>16524.078728130768</v>
      </c>
      <c r="J298" s="1117">
        <f t="shared" si="53"/>
        <v>18263.45543635506</v>
      </c>
      <c r="K298" s="1320"/>
      <c r="L298" s="1000" t="str">
        <f t="shared" si="47"/>
        <v/>
      </c>
      <c r="M298" s="1118">
        <f t="shared" si="48"/>
        <v>17393.767082242914</v>
      </c>
      <c r="N298" s="976"/>
      <c r="O298" s="1119">
        <f t="shared" ref="O298:O361" si="55">$M298*O$5</f>
        <v>-806.68567480189563</v>
      </c>
      <c r="P298" s="1119">
        <f t="shared" si="54"/>
        <v>834.70472044811856</v>
      </c>
      <c r="Q298" s="1119">
        <f t="shared" si="54"/>
        <v>0</v>
      </c>
      <c r="R298" s="1119">
        <f t="shared" si="54"/>
        <v>31.44541525601797</v>
      </c>
      <c r="S298" s="1119">
        <f t="shared" si="54"/>
        <v>728.26984823413966</v>
      </c>
      <c r="T298" s="1119">
        <f t="shared" si="54"/>
        <v>-95.309108646485171</v>
      </c>
      <c r="U298" s="1119">
        <f t="shared" si="54"/>
        <v>-3.5856362779786122</v>
      </c>
      <c r="V298" s="1119">
        <f t="shared" si="54"/>
        <v>-296.46925773814843</v>
      </c>
      <c r="W298" s="1119">
        <f t="shared" si="54"/>
        <v>23.392442910364515</v>
      </c>
      <c r="X298" s="978"/>
      <c r="Y298" s="1120">
        <f t="shared" si="49"/>
        <v>17809.529831627045</v>
      </c>
      <c r="Z298" s="1354"/>
      <c r="AA298" s="1001">
        <v>0.58401141400686274</v>
      </c>
      <c r="AB298" s="978"/>
      <c r="AC298" s="1036">
        <f t="shared" si="50"/>
        <v>0.58401141400686274</v>
      </c>
      <c r="AD298" s="783">
        <f t="shared" si="51"/>
        <v>0.58399999999999996</v>
      </c>
      <c r="AE298" s="1321"/>
      <c r="AF298" s="1322"/>
      <c r="AG298" s="740"/>
    </row>
    <row r="299" spans="1:33">
      <c r="A299" s="96">
        <v>300803</v>
      </c>
      <c r="B299" s="1286" t="s">
        <v>398</v>
      </c>
      <c r="C299" s="782">
        <f>'TAR_Tab 2_Volumina'!N302</f>
        <v>0</v>
      </c>
      <c r="D299" s="976"/>
      <c r="E299" s="1318">
        <v>0</v>
      </c>
      <c r="F299" s="1116">
        <f t="shared" si="45"/>
        <v>0</v>
      </c>
      <c r="G299" s="1116">
        <f t="shared" si="46"/>
        <v>0</v>
      </c>
      <c r="H299" s="976"/>
      <c r="I299" s="1117">
        <f t="shared" si="53"/>
        <v>0</v>
      </c>
      <c r="J299" s="1117">
        <f t="shared" si="53"/>
        <v>0</v>
      </c>
      <c r="K299" s="1320"/>
      <c r="L299" s="1000" t="str">
        <f t="shared" si="47"/>
        <v/>
      </c>
      <c r="M299" s="1118">
        <f t="shared" si="48"/>
        <v>0</v>
      </c>
      <c r="N299" s="976"/>
      <c r="O299" s="1119">
        <f t="shared" si="55"/>
        <v>0</v>
      </c>
      <c r="P299" s="1119">
        <f t="shared" si="54"/>
        <v>0</v>
      </c>
      <c r="Q299" s="1119">
        <f t="shared" si="54"/>
        <v>0</v>
      </c>
      <c r="R299" s="1119">
        <f t="shared" si="54"/>
        <v>0</v>
      </c>
      <c r="S299" s="1119">
        <f t="shared" si="54"/>
        <v>0</v>
      </c>
      <c r="T299" s="1119">
        <f t="shared" si="54"/>
        <v>0</v>
      </c>
      <c r="U299" s="1119">
        <f t="shared" si="54"/>
        <v>0</v>
      </c>
      <c r="V299" s="1119">
        <f t="shared" si="54"/>
        <v>0</v>
      </c>
      <c r="W299" s="1119">
        <f t="shared" si="54"/>
        <v>0</v>
      </c>
      <c r="X299" s="978"/>
      <c r="Y299" s="1120">
        <f t="shared" si="49"/>
        <v>0</v>
      </c>
      <c r="Z299" s="1354"/>
      <c r="AA299" s="1001">
        <v>0</v>
      </c>
      <c r="AB299" s="978"/>
      <c r="AC299" s="1036">
        <f t="shared" si="50"/>
        <v>0</v>
      </c>
      <c r="AD299" s="783">
        <f t="shared" si="51"/>
        <v>0</v>
      </c>
      <c r="AE299" s="1321"/>
      <c r="AF299" s="1322"/>
      <c r="AG299" s="740"/>
    </row>
    <row r="300" spans="1:33">
      <c r="A300" s="96">
        <v>300804</v>
      </c>
      <c r="B300" s="1286" t="s">
        <v>399</v>
      </c>
      <c r="C300" s="782">
        <f>'TAR_Tab 2_Volumina'!N303</f>
        <v>0</v>
      </c>
      <c r="D300" s="976"/>
      <c r="E300" s="1318">
        <v>0</v>
      </c>
      <c r="F300" s="1116">
        <f t="shared" si="45"/>
        <v>0</v>
      </c>
      <c r="G300" s="1116">
        <f t="shared" si="46"/>
        <v>0</v>
      </c>
      <c r="H300" s="976"/>
      <c r="I300" s="1117">
        <f t="shared" si="53"/>
        <v>0</v>
      </c>
      <c r="J300" s="1117">
        <f t="shared" si="53"/>
        <v>0</v>
      </c>
      <c r="K300" s="1320"/>
      <c r="L300" s="1000" t="str">
        <f t="shared" si="47"/>
        <v/>
      </c>
      <c r="M300" s="1118">
        <f t="shared" si="48"/>
        <v>0</v>
      </c>
      <c r="N300" s="976"/>
      <c r="O300" s="1119">
        <f t="shared" si="55"/>
        <v>0</v>
      </c>
      <c r="P300" s="1119">
        <f t="shared" si="54"/>
        <v>0</v>
      </c>
      <c r="Q300" s="1119">
        <f t="shared" si="54"/>
        <v>0</v>
      </c>
      <c r="R300" s="1119">
        <f t="shared" si="54"/>
        <v>0</v>
      </c>
      <c r="S300" s="1119">
        <f t="shared" si="54"/>
        <v>0</v>
      </c>
      <c r="T300" s="1119">
        <f t="shared" si="54"/>
        <v>0</v>
      </c>
      <c r="U300" s="1119">
        <f t="shared" si="54"/>
        <v>0</v>
      </c>
      <c r="V300" s="1119">
        <f t="shared" si="54"/>
        <v>0</v>
      </c>
      <c r="W300" s="1119">
        <f t="shared" si="54"/>
        <v>0</v>
      </c>
      <c r="X300" s="978"/>
      <c r="Y300" s="1120">
        <f t="shared" si="49"/>
        <v>0</v>
      </c>
      <c r="Z300" s="1354"/>
      <c r="AA300" s="1001">
        <v>0</v>
      </c>
      <c r="AB300" s="978"/>
      <c r="AC300" s="1036">
        <f t="shared" si="50"/>
        <v>0</v>
      </c>
      <c r="AD300" s="783">
        <f t="shared" si="51"/>
        <v>0</v>
      </c>
      <c r="AE300" s="1321"/>
      <c r="AF300" s="1322"/>
      <c r="AG300" s="740"/>
    </row>
    <row r="301" spans="1:33">
      <c r="A301" s="96">
        <v>300807</v>
      </c>
      <c r="B301" s="1286" t="s">
        <v>400</v>
      </c>
      <c r="C301" s="782">
        <f>'TAR_Tab 2_Volumina'!N304</f>
        <v>0</v>
      </c>
      <c r="D301" s="976"/>
      <c r="E301" s="1318">
        <v>0</v>
      </c>
      <c r="F301" s="1116">
        <f t="shared" si="45"/>
        <v>0</v>
      </c>
      <c r="G301" s="1116">
        <f t="shared" si="46"/>
        <v>0</v>
      </c>
      <c r="H301" s="976"/>
      <c r="I301" s="1117">
        <f t="shared" si="53"/>
        <v>0</v>
      </c>
      <c r="J301" s="1117">
        <f t="shared" si="53"/>
        <v>0</v>
      </c>
      <c r="K301" s="1320"/>
      <c r="L301" s="1000" t="str">
        <f t="shared" si="47"/>
        <v/>
      </c>
      <c r="M301" s="1118">
        <f t="shared" si="48"/>
        <v>0</v>
      </c>
      <c r="N301" s="976"/>
      <c r="O301" s="1119">
        <f t="shared" si="55"/>
        <v>0</v>
      </c>
      <c r="P301" s="1119">
        <f t="shared" si="54"/>
        <v>0</v>
      </c>
      <c r="Q301" s="1119">
        <f t="shared" si="54"/>
        <v>0</v>
      </c>
      <c r="R301" s="1119">
        <f t="shared" si="54"/>
        <v>0</v>
      </c>
      <c r="S301" s="1119">
        <f t="shared" si="54"/>
        <v>0</v>
      </c>
      <c r="T301" s="1119">
        <f t="shared" si="54"/>
        <v>0</v>
      </c>
      <c r="U301" s="1119">
        <f t="shared" si="54"/>
        <v>0</v>
      </c>
      <c r="V301" s="1119">
        <f t="shared" si="54"/>
        <v>0</v>
      </c>
      <c r="W301" s="1119">
        <f t="shared" si="54"/>
        <v>0</v>
      </c>
      <c r="X301" s="978"/>
      <c r="Y301" s="1120">
        <f t="shared" si="49"/>
        <v>0</v>
      </c>
      <c r="Z301" s="1354"/>
      <c r="AA301" s="1001">
        <v>0</v>
      </c>
      <c r="AB301" s="978"/>
      <c r="AC301" s="1036">
        <f t="shared" si="50"/>
        <v>0</v>
      </c>
      <c r="AD301" s="783">
        <f t="shared" si="51"/>
        <v>0</v>
      </c>
      <c r="AE301" s="1321"/>
      <c r="AF301" s="1322"/>
      <c r="AG301" s="740"/>
    </row>
    <row r="302" spans="1:33">
      <c r="A302" s="96">
        <v>300808</v>
      </c>
      <c r="B302" s="1286" t="s">
        <v>401</v>
      </c>
      <c r="C302" s="782">
        <f>'TAR_Tab 2_Volumina'!N305</f>
        <v>0</v>
      </c>
      <c r="D302" s="976"/>
      <c r="E302" s="1318">
        <v>0</v>
      </c>
      <c r="F302" s="1116">
        <f t="shared" si="45"/>
        <v>0</v>
      </c>
      <c r="G302" s="1116">
        <f t="shared" si="46"/>
        <v>0</v>
      </c>
      <c r="H302" s="976"/>
      <c r="I302" s="1117">
        <f t="shared" si="53"/>
        <v>0</v>
      </c>
      <c r="J302" s="1117">
        <f t="shared" si="53"/>
        <v>0</v>
      </c>
      <c r="K302" s="1320"/>
      <c r="L302" s="1000" t="str">
        <f t="shared" si="47"/>
        <v/>
      </c>
      <c r="M302" s="1118">
        <f t="shared" si="48"/>
        <v>0</v>
      </c>
      <c r="N302" s="976"/>
      <c r="O302" s="1119">
        <f t="shared" si="55"/>
        <v>0</v>
      </c>
      <c r="P302" s="1119">
        <f t="shared" si="54"/>
        <v>0</v>
      </c>
      <c r="Q302" s="1119">
        <f t="shared" si="54"/>
        <v>0</v>
      </c>
      <c r="R302" s="1119">
        <f t="shared" si="54"/>
        <v>0</v>
      </c>
      <c r="S302" s="1119">
        <f t="shared" si="54"/>
        <v>0</v>
      </c>
      <c r="T302" s="1119">
        <f t="shared" si="54"/>
        <v>0</v>
      </c>
      <c r="U302" s="1119">
        <f t="shared" si="54"/>
        <v>0</v>
      </c>
      <c r="V302" s="1119">
        <f t="shared" si="54"/>
        <v>0</v>
      </c>
      <c r="W302" s="1119">
        <f t="shared" si="54"/>
        <v>0</v>
      </c>
      <c r="X302" s="978"/>
      <c r="Y302" s="1120">
        <f t="shared" si="49"/>
        <v>0</v>
      </c>
      <c r="Z302" s="1354"/>
      <c r="AA302" s="1001">
        <v>0</v>
      </c>
      <c r="AB302" s="978"/>
      <c r="AC302" s="1036">
        <f t="shared" si="50"/>
        <v>0</v>
      </c>
      <c r="AD302" s="783">
        <f t="shared" si="51"/>
        <v>0</v>
      </c>
      <c r="AE302" s="1321"/>
      <c r="AF302" s="1322"/>
      <c r="AG302" s="740"/>
    </row>
    <row r="303" spans="1:33">
      <c r="A303" s="96">
        <v>300809</v>
      </c>
      <c r="B303" s="1286" t="s">
        <v>402</v>
      </c>
      <c r="C303" s="782">
        <f>'TAR_Tab 2_Volumina'!N306</f>
        <v>1</v>
      </c>
      <c r="D303" s="976"/>
      <c r="E303" s="1318">
        <v>17861.01390568259</v>
      </c>
      <c r="F303" s="1116">
        <f t="shared" si="45"/>
        <v>16996.540832647552</v>
      </c>
      <c r="G303" s="1116">
        <f t="shared" si="46"/>
        <v>17393.767082242914</v>
      </c>
      <c r="H303" s="976"/>
      <c r="I303" s="1117">
        <f t="shared" si="53"/>
        <v>16524.078728130768</v>
      </c>
      <c r="J303" s="1117">
        <f t="shared" si="53"/>
        <v>18263.45543635506</v>
      </c>
      <c r="K303" s="1320"/>
      <c r="L303" s="1000" t="str">
        <f t="shared" si="47"/>
        <v/>
      </c>
      <c r="M303" s="1118">
        <f t="shared" si="48"/>
        <v>17393.767082242914</v>
      </c>
      <c r="N303" s="976"/>
      <c r="O303" s="1119">
        <f t="shared" si="55"/>
        <v>-806.68567480189563</v>
      </c>
      <c r="P303" s="1119">
        <f t="shared" si="54"/>
        <v>834.70472044811856</v>
      </c>
      <c r="Q303" s="1119">
        <f t="shared" si="54"/>
        <v>0</v>
      </c>
      <c r="R303" s="1119">
        <f t="shared" si="54"/>
        <v>31.44541525601797</v>
      </c>
      <c r="S303" s="1119">
        <f t="shared" si="54"/>
        <v>728.26984823413966</v>
      </c>
      <c r="T303" s="1119">
        <f t="shared" si="54"/>
        <v>-95.309108646485171</v>
      </c>
      <c r="U303" s="1119">
        <f t="shared" si="54"/>
        <v>-3.5856362779786122</v>
      </c>
      <c r="V303" s="1119">
        <f t="shared" si="54"/>
        <v>-296.46925773814843</v>
      </c>
      <c r="W303" s="1119">
        <f t="shared" si="54"/>
        <v>23.392442910364515</v>
      </c>
      <c r="X303" s="978"/>
      <c r="Y303" s="1120">
        <f t="shared" si="49"/>
        <v>17809.529831627045</v>
      </c>
      <c r="Z303" s="1354"/>
      <c r="AA303" s="1001">
        <v>0.60642647908039671</v>
      </c>
      <c r="AB303" s="978"/>
      <c r="AC303" s="1036">
        <f t="shared" si="50"/>
        <v>0.60642647908039671</v>
      </c>
      <c r="AD303" s="783">
        <f t="shared" si="51"/>
        <v>0.60599999999999998</v>
      </c>
      <c r="AE303" s="1321"/>
      <c r="AF303" s="1322"/>
      <c r="AG303" s="740"/>
    </row>
    <row r="304" spans="1:33">
      <c r="A304" s="96">
        <v>300812</v>
      </c>
      <c r="B304" s="1286" t="s">
        <v>403</v>
      </c>
      <c r="C304" s="782">
        <f>'TAR_Tab 2_Volumina'!N307</f>
        <v>1</v>
      </c>
      <c r="D304" s="976"/>
      <c r="E304" s="1318">
        <v>17861.01390568259</v>
      </c>
      <c r="F304" s="1116">
        <f t="shared" si="45"/>
        <v>16996.540832647552</v>
      </c>
      <c r="G304" s="1116">
        <f t="shared" si="46"/>
        <v>17393.767082242914</v>
      </c>
      <c r="H304" s="976"/>
      <c r="I304" s="1117">
        <f t="shared" si="53"/>
        <v>16524.078728130768</v>
      </c>
      <c r="J304" s="1117">
        <f t="shared" si="53"/>
        <v>18263.45543635506</v>
      </c>
      <c r="K304" s="1320"/>
      <c r="L304" s="1000" t="str">
        <f t="shared" si="47"/>
        <v/>
      </c>
      <c r="M304" s="1118">
        <f t="shared" si="48"/>
        <v>17393.767082242914</v>
      </c>
      <c r="N304" s="976"/>
      <c r="O304" s="1119">
        <f t="shared" si="55"/>
        <v>-806.68567480189563</v>
      </c>
      <c r="P304" s="1119">
        <f t="shared" si="54"/>
        <v>834.70472044811856</v>
      </c>
      <c r="Q304" s="1119">
        <f t="shared" si="54"/>
        <v>0</v>
      </c>
      <c r="R304" s="1119">
        <f t="shared" si="54"/>
        <v>31.44541525601797</v>
      </c>
      <c r="S304" s="1119">
        <f t="shared" si="54"/>
        <v>728.26984823413966</v>
      </c>
      <c r="T304" s="1119">
        <f t="shared" si="54"/>
        <v>-95.309108646485171</v>
      </c>
      <c r="U304" s="1119">
        <f t="shared" si="54"/>
        <v>-3.5856362779786122</v>
      </c>
      <c r="V304" s="1119">
        <f t="shared" si="54"/>
        <v>-296.46925773814843</v>
      </c>
      <c r="W304" s="1119">
        <f t="shared" si="54"/>
        <v>23.392442910364515</v>
      </c>
      <c r="X304" s="978"/>
      <c r="Y304" s="1120">
        <f t="shared" si="49"/>
        <v>17809.529831627045</v>
      </c>
      <c r="Z304" s="1354"/>
      <c r="AA304" s="1001">
        <v>0.69918253527697738</v>
      </c>
      <c r="AB304" s="978"/>
      <c r="AC304" s="1036">
        <f t="shared" si="50"/>
        <v>0.69918253527697738</v>
      </c>
      <c r="AD304" s="783">
        <f t="shared" si="51"/>
        <v>0.69899999999999995</v>
      </c>
      <c r="AE304" s="1321"/>
      <c r="AF304" s="1322"/>
      <c r="AG304" s="740"/>
    </row>
    <row r="305" spans="1:33">
      <c r="A305" s="96">
        <v>300813</v>
      </c>
      <c r="B305" s="1286" t="s">
        <v>404</v>
      </c>
      <c r="C305" s="782">
        <f>'TAR_Tab 2_Volumina'!N308</f>
        <v>1</v>
      </c>
      <c r="D305" s="976"/>
      <c r="E305" s="1318">
        <v>17861.01390568259</v>
      </c>
      <c r="F305" s="1116">
        <f t="shared" si="45"/>
        <v>16996.540832647552</v>
      </c>
      <c r="G305" s="1116">
        <f t="shared" si="46"/>
        <v>17393.767082242914</v>
      </c>
      <c r="H305" s="976"/>
      <c r="I305" s="1117">
        <f t="shared" si="53"/>
        <v>16524.078728130768</v>
      </c>
      <c r="J305" s="1117">
        <f t="shared" si="53"/>
        <v>18263.45543635506</v>
      </c>
      <c r="K305" s="1320"/>
      <c r="L305" s="1000" t="str">
        <f t="shared" si="47"/>
        <v/>
      </c>
      <c r="M305" s="1118">
        <f t="shared" si="48"/>
        <v>17393.767082242914</v>
      </c>
      <c r="N305" s="976"/>
      <c r="O305" s="1119">
        <f t="shared" si="55"/>
        <v>-806.68567480189563</v>
      </c>
      <c r="P305" s="1119">
        <f t="shared" si="54"/>
        <v>834.70472044811856</v>
      </c>
      <c r="Q305" s="1119">
        <f t="shared" si="54"/>
        <v>0</v>
      </c>
      <c r="R305" s="1119">
        <f t="shared" si="54"/>
        <v>31.44541525601797</v>
      </c>
      <c r="S305" s="1119">
        <f t="shared" si="54"/>
        <v>728.26984823413966</v>
      </c>
      <c r="T305" s="1119">
        <f t="shared" si="54"/>
        <v>-95.309108646485171</v>
      </c>
      <c r="U305" s="1119">
        <f t="shared" si="54"/>
        <v>-3.5856362779786122</v>
      </c>
      <c r="V305" s="1119">
        <f t="shared" si="54"/>
        <v>-296.46925773814843</v>
      </c>
      <c r="W305" s="1119">
        <f t="shared" si="54"/>
        <v>23.392442910364515</v>
      </c>
      <c r="X305" s="978"/>
      <c r="Y305" s="1120">
        <f t="shared" si="49"/>
        <v>17809.529831627045</v>
      </c>
      <c r="Z305" s="1354"/>
      <c r="AA305" s="1001">
        <v>0.59540554418484881</v>
      </c>
      <c r="AB305" s="978"/>
      <c r="AC305" s="1036">
        <f t="shared" si="50"/>
        <v>0.59540554418484881</v>
      </c>
      <c r="AD305" s="783">
        <f t="shared" si="51"/>
        <v>0.59499999999999997</v>
      </c>
      <c r="AE305" s="1321"/>
      <c r="AF305" s="1322"/>
      <c r="AG305" s="740"/>
    </row>
    <row r="306" spans="1:33">
      <c r="A306" s="96">
        <v>300814</v>
      </c>
      <c r="B306" s="1286" t="s">
        <v>300</v>
      </c>
      <c r="C306" s="782">
        <f>'TAR_Tab 2_Volumina'!N309</f>
        <v>0</v>
      </c>
      <c r="D306" s="976"/>
      <c r="E306" s="1318">
        <v>0</v>
      </c>
      <c r="F306" s="1116">
        <f t="shared" si="45"/>
        <v>0</v>
      </c>
      <c r="G306" s="1116">
        <f t="shared" si="46"/>
        <v>0</v>
      </c>
      <c r="H306" s="976"/>
      <c r="I306" s="1117">
        <f t="shared" si="53"/>
        <v>0</v>
      </c>
      <c r="J306" s="1117">
        <f t="shared" si="53"/>
        <v>0</v>
      </c>
      <c r="K306" s="1320"/>
      <c r="L306" s="1000" t="str">
        <f t="shared" si="47"/>
        <v/>
      </c>
      <c r="M306" s="1118">
        <f t="shared" si="48"/>
        <v>0</v>
      </c>
      <c r="N306" s="976"/>
      <c r="O306" s="1119">
        <f t="shared" si="55"/>
        <v>0</v>
      </c>
      <c r="P306" s="1119">
        <f t="shared" si="54"/>
        <v>0</v>
      </c>
      <c r="Q306" s="1119">
        <f t="shared" si="54"/>
        <v>0</v>
      </c>
      <c r="R306" s="1119">
        <f t="shared" si="54"/>
        <v>0</v>
      </c>
      <c r="S306" s="1119">
        <f t="shared" si="54"/>
        <v>0</v>
      </c>
      <c r="T306" s="1119">
        <f t="shared" si="54"/>
        <v>0</v>
      </c>
      <c r="U306" s="1119">
        <f t="shared" si="54"/>
        <v>0</v>
      </c>
      <c r="V306" s="1119">
        <f t="shared" si="54"/>
        <v>0</v>
      </c>
      <c r="W306" s="1119">
        <f t="shared" si="54"/>
        <v>0</v>
      </c>
      <c r="X306" s="978"/>
      <c r="Y306" s="1120">
        <f t="shared" si="49"/>
        <v>0</v>
      </c>
      <c r="Z306" s="1354"/>
      <c r="AA306" s="1001">
        <v>0</v>
      </c>
      <c r="AB306" s="978"/>
      <c r="AC306" s="1036">
        <f t="shared" si="50"/>
        <v>0</v>
      </c>
      <c r="AD306" s="783">
        <f t="shared" si="51"/>
        <v>0</v>
      </c>
      <c r="AE306" s="1321"/>
      <c r="AF306" s="1322"/>
      <c r="AG306" s="740"/>
    </row>
    <row r="307" spans="1:33">
      <c r="A307" s="96">
        <v>300816</v>
      </c>
      <c r="B307" s="1286" t="s">
        <v>405</v>
      </c>
      <c r="C307" s="782">
        <f>'TAR_Tab 2_Volumina'!N310</f>
        <v>0</v>
      </c>
      <c r="D307" s="976"/>
      <c r="E307" s="1318">
        <v>0</v>
      </c>
      <c r="F307" s="1116">
        <f t="shared" si="45"/>
        <v>0</v>
      </c>
      <c r="G307" s="1116">
        <f t="shared" si="46"/>
        <v>0</v>
      </c>
      <c r="H307" s="976"/>
      <c r="I307" s="1117">
        <f t="shared" si="53"/>
        <v>0</v>
      </c>
      <c r="J307" s="1117">
        <f t="shared" si="53"/>
        <v>0</v>
      </c>
      <c r="K307" s="1320"/>
      <c r="L307" s="1000" t="str">
        <f t="shared" si="47"/>
        <v/>
      </c>
      <c r="M307" s="1118">
        <f t="shared" si="48"/>
        <v>0</v>
      </c>
      <c r="N307" s="976"/>
      <c r="O307" s="1119">
        <f t="shared" si="55"/>
        <v>0</v>
      </c>
      <c r="P307" s="1119">
        <f t="shared" si="54"/>
        <v>0</v>
      </c>
      <c r="Q307" s="1119">
        <f t="shared" si="54"/>
        <v>0</v>
      </c>
      <c r="R307" s="1119">
        <f t="shared" si="54"/>
        <v>0</v>
      </c>
      <c r="S307" s="1119">
        <f t="shared" si="54"/>
        <v>0</v>
      </c>
      <c r="T307" s="1119">
        <f t="shared" si="54"/>
        <v>0</v>
      </c>
      <c r="U307" s="1119">
        <f t="shared" si="54"/>
        <v>0</v>
      </c>
      <c r="V307" s="1119">
        <f t="shared" si="54"/>
        <v>0</v>
      </c>
      <c r="W307" s="1119">
        <f t="shared" si="54"/>
        <v>0</v>
      </c>
      <c r="X307" s="978"/>
      <c r="Y307" s="1120">
        <f t="shared" si="49"/>
        <v>0</v>
      </c>
      <c r="Z307" s="1354"/>
      <c r="AA307" s="1001">
        <v>0</v>
      </c>
      <c r="AB307" s="978"/>
      <c r="AC307" s="1036">
        <f t="shared" si="50"/>
        <v>0</v>
      </c>
      <c r="AD307" s="783">
        <f t="shared" si="51"/>
        <v>0</v>
      </c>
      <c r="AE307" s="1321"/>
      <c r="AF307" s="1322"/>
      <c r="AG307" s="740"/>
    </row>
    <row r="308" spans="1:33">
      <c r="A308" s="96">
        <v>300822</v>
      </c>
      <c r="B308" s="1286" t="s">
        <v>301</v>
      </c>
      <c r="C308" s="782">
        <f>'TAR_Tab 2_Volumina'!N311</f>
        <v>1</v>
      </c>
      <c r="D308" s="976"/>
      <c r="E308" s="1318">
        <v>35722.02781136518</v>
      </c>
      <c r="F308" s="1116">
        <f t="shared" si="45"/>
        <v>33993.081665295103</v>
      </c>
      <c r="G308" s="1116">
        <f t="shared" si="46"/>
        <v>34787.534164485827</v>
      </c>
      <c r="H308" s="976"/>
      <c r="I308" s="1117">
        <f t="shared" si="53"/>
        <v>33048.157456261535</v>
      </c>
      <c r="J308" s="1117">
        <f t="shared" si="53"/>
        <v>36526.910872710119</v>
      </c>
      <c r="K308" s="1320"/>
      <c r="L308" s="1000" t="str">
        <f t="shared" si="47"/>
        <v/>
      </c>
      <c r="M308" s="1118">
        <f t="shared" si="48"/>
        <v>34787.534164485827</v>
      </c>
      <c r="N308" s="976"/>
      <c r="O308" s="1119">
        <f t="shared" si="55"/>
        <v>-1613.3713496037913</v>
      </c>
      <c r="P308" s="1119">
        <f t="shared" si="54"/>
        <v>1669.4094408962371</v>
      </c>
      <c r="Q308" s="1119">
        <f t="shared" si="54"/>
        <v>0</v>
      </c>
      <c r="R308" s="1119">
        <f t="shared" si="54"/>
        <v>62.89083051203594</v>
      </c>
      <c r="S308" s="1119">
        <f t="shared" si="54"/>
        <v>1456.5396964682793</v>
      </c>
      <c r="T308" s="1119">
        <f t="shared" si="54"/>
        <v>-190.61821729297034</v>
      </c>
      <c r="U308" s="1119">
        <f t="shared" si="54"/>
        <v>-7.1712725559572243</v>
      </c>
      <c r="V308" s="1119">
        <f t="shared" si="54"/>
        <v>-592.93851547629686</v>
      </c>
      <c r="W308" s="1119">
        <f t="shared" si="54"/>
        <v>46.784885820729031</v>
      </c>
      <c r="X308" s="978"/>
      <c r="Y308" s="1120">
        <f t="shared" si="49"/>
        <v>35619.059663254091</v>
      </c>
      <c r="Z308" s="1354"/>
      <c r="AA308" s="1001">
        <v>0.11014711466649252</v>
      </c>
      <c r="AB308" s="978"/>
      <c r="AC308" s="1036">
        <f t="shared" si="50"/>
        <v>0.11014711466649252</v>
      </c>
      <c r="AD308" s="783">
        <f t="shared" si="51"/>
        <v>0.11</v>
      </c>
      <c r="AE308" s="1321"/>
      <c r="AF308" s="1322"/>
      <c r="AG308" s="740"/>
    </row>
    <row r="309" spans="1:33">
      <c r="A309" s="96">
        <v>300823</v>
      </c>
      <c r="B309" s="1286" t="s">
        <v>406</v>
      </c>
      <c r="C309" s="782">
        <f>'TAR_Tab 2_Volumina'!N312</f>
        <v>1</v>
      </c>
      <c r="D309" s="976"/>
      <c r="E309" s="1318">
        <v>17861.01390568259</v>
      </c>
      <c r="F309" s="1116">
        <f t="shared" si="45"/>
        <v>16996.540832647552</v>
      </c>
      <c r="G309" s="1116">
        <f t="shared" si="46"/>
        <v>17393.767082242914</v>
      </c>
      <c r="H309" s="976"/>
      <c r="I309" s="1117">
        <f t="shared" si="53"/>
        <v>16524.078728130768</v>
      </c>
      <c r="J309" s="1117">
        <f t="shared" si="53"/>
        <v>18263.45543635506</v>
      </c>
      <c r="K309" s="1320"/>
      <c r="L309" s="1000" t="str">
        <f t="shared" si="47"/>
        <v/>
      </c>
      <c r="M309" s="1118">
        <f t="shared" si="48"/>
        <v>17393.767082242914</v>
      </c>
      <c r="N309" s="976"/>
      <c r="O309" s="1119">
        <f t="shared" si="55"/>
        <v>-806.68567480189563</v>
      </c>
      <c r="P309" s="1119">
        <f t="shared" si="54"/>
        <v>834.70472044811856</v>
      </c>
      <c r="Q309" s="1119">
        <f t="shared" si="54"/>
        <v>0</v>
      </c>
      <c r="R309" s="1119">
        <f t="shared" si="54"/>
        <v>31.44541525601797</v>
      </c>
      <c r="S309" s="1119">
        <f t="shared" si="54"/>
        <v>728.26984823413966</v>
      </c>
      <c r="T309" s="1119">
        <f t="shared" si="54"/>
        <v>-95.309108646485171</v>
      </c>
      <c r="U309" s="1119">
        <f t="shared" si="54"/>
        <v>-3.5856362779786122</v>
      </c>
      <c r="V309" s="1119">
        <f t="shared" si="54"/>
        <v>-296.46925773814843</v>
      </c>
      <c r="W309" s="1119">
        <f t="shared" si="54"/>
        <v>23.392442910364515</v>
      </c>
      <c r="X309" s="978"/>
      <c r="Y309" s="1120">
        <f t="shared" si="49"/>
        <v>17809.529831627045</v>
      </c>
      <c r="Z309" s="1354"/>
      <c r="AA309" s="1001">
        <v>5.114333262179608</v>
      </c>
      <c r="AB309" s="978"/>
      <c r="AC309" s="1036">
        <f t="shared" si="50"/>
        <v>5.114333262179608</v>
      </c>
      <c r="AD309" s="783">
        <f t="shared" si="51"/>
        <v>5.1139999999999999</v>
      </c>
      <c r="AE309" s="1321"/>
      <c r="AF309" s="1322"/>
      <c r="AG309" s="740"/>
    </row>
    <row r="310" spans="1:33">
      <c r="A310" s="96">
        <v>300825</v>
      </c>
      <c r="B310" s="1286" t="s">
        <v>407</v>
      </c>
      <c r="C310" s="782">
        <f>'TAR_Tab 2_Volumina'!N313</f>
        <v>0</v>
      </c>
      <c r="D310" s="976"/>
      <c r="E310" s="1318">
        <v>0</v>
      </c>
      <c r="F310" s="1116">
        <f t="shared" si="45"/>
        <v>0</v>
      </c>
      <c r="G310" s="1116">
        <f t="shared" si="46"/>
        <v>0</v>
      </c>
      <c r="H310" s="976"/>
      <c r="I310" s="1117">
        <f t="shared" si="53"/>
        <v>0</v>
      </c>
      <c r="J310" s="1117">
        <f t="shared" si="53"/>
        <v>0</v>
      </c>
      <c r="K310" s="1320"/>
      <c r="L310" s="1000" t="str">
        <f t="shared" si="47"/>
        <v/>
      </c>
      <c r="M310" s="1118">
        <f t="shared" si="48"/>
        <v>0</v>
      </c>
      <c r="N310" s="976"/>
      <c r="O310" s="1119">
        <f t="shared" si="55"/>
        <v>0</v>
      </c>
      <c r="P310" s="1119">
        <f t="shared" si="54"/>
        <v>0</v>
      </c>
      <c r="Q310" s="1119">
        <f t="shared" si="54"/>
        <v>0</v>
      </c>
      <c r="R310" s="1119">
        <f t="shared" si="54"/>
        <v>0</v>
      </c>
      <c r="S310" s="1119">
        <f t="shared" si="54"/>
        <v>0</v>
      </c>
      <c r="T310" s="1119">
        <f t="shared" si="54"/>
        <v>0</v>
      </c>
      <c r="U310" s="1119">
        <f t="shared" si="54"/>
        <v>0</v>
      </c>
      <c r="V310" s="1119">
        <f t="shared" si="54"/>
        <v>0</v>
      </c>
      <c r="W310" s="1119">
        <f t="shared" si="54"/>
        <v>0</v>
      </c>
      <c r="X310" s="978"/>
      <c r="Y310" s="1120">
        <f t="shared" si="49"/>
        <v>0</v>
      </c>
      <c r="Z310" s="1354"/>
      <c r="AA310" s="1001">
        <v>0</v>
      </c>
      <c r="AB310" s="978"/>
      <c r="AC310" s="1036">
        <f t="shared" si="50"/>
        <v>0</v>
      </c>
      <c r="AD310" s="783">
        <f t="shared" si="51"/>
        <v>0</v>
      </c>
      <c r="AE310" s="1321"/>
      <c r="AF310" s="1322"/>
      <c r="AG310" s="740"/>
    </row>
    <row r="311" spans="1:33">
      <c r="A311" s="96">
        <v>300827</v>
      </c>
      <c r="B311" s="1286" t="s">
        <v>302</v>
      </c>
      <c r="C311" s="782">
        <f>'TAR_Tab 2_Volumina'!N314</f>
        <v>0</v>
      </c>
      <c r="D311" s="976"/>
      <c r="E311" s="1318">
        <v>0</v>
      </c>
      <c r="F311" s="1116">
        <f t="shared" si="45"/>
        <v>0</v>
      </c>
      <c r="G311" s="1116">
        <f t="shared" si="46"/>
        <v>0</v>
      </c>
      <c r="H311" s="976"/>
      <c r="I311" s="1117">
        <f t="shared" si="53"/>
        <v>0</v>
      </c>
      <c r="J311" s="1117">
        <f t="shared" si="53"/>
        <v>0</v>
      </c>
      <c r="K311" s="1320"/>
      <c r="L311" s="1000" t="str">
        <f t="shared" si="47"/>
        <v/>
      </c>
      <c r="M311" s="1118">
        <f t="shared" si="48"/>
        <v>0</v>
      </c>
      <c r="N311" s="976"/>
      <c r="O311" s="1119">
        <f t="shared" si="55"/>
        <v>0</v>
      </c>
      <c r="P311" s="1119">
        <f t="shared" si="54"/>
        <v>0</v>
      </c>
      <c r="Q311" s="1119">
        <f t="shared" si="54"/>
        <v>0</v>
      </c>
      <c r="R311" s="1119">
        <f t="shared" si="54"/>
        <v>0</v>
      </c>
      <c r="S311" s="1119">
        <f t="shared" si="54"/>
        <v>0</v>
      </c>
      <c r="T311" s="1119">
        <f t="shared" si="54"/>
        <v>0</v>
      </c>
      <c r="U311" s="1119">
        <f t="shared" si="54"/>
        <v>0</v>
      </c>
      <c r="V311" s="1119">
        <f t="shared" si="54"/>
        <v>0</v>
      </c>
      <c r="W311" s="1119">
        <f t="shared" si="54"/>
        <v>0</v>
      </c>
      <c r="X311" s="978"/>
      <c r="Y311" s="1120">
        <f t="shared" si="49"/>
        <v>0</v>
      </c>
      <c r="Z311" s="1354"/>
      <c r="AA311" s="1001">
        <v>0</v>
      </c>
      <c r="AB311" s="978"/>
      <c r="AC311" s="1036">
        <f t="shared" si="50"/>
        <v>0</v>
      </c>
      <c r="AD311" s="783">
        <f t="shared" si="51"/>
        <v>0</v>
      </c>
      <c r="AE311" s="1321"/>
      <c r="AF311" s="1322"/>
      <c r="AG311" s="740"/>
    </row>
    <row r="312" spans="1:33">
      <c r="A312" s="96">
        <v>300829</v>
      </c>
      <c r="B312" s="1286" t="s">
        <v>409</v>
      </c>
      <c r="C312" s="782">
        <f>'TAR_Tab 2_Volumina'!N315</f>
        <v>0</v>
      </c>
      <c r="D312" s="976"/>
      <c r="E312" s="1318">
        <v>0</v>
      </c>
      <c r="F312" s="1116">
        <f t="shared" si="45"/>
        <v>0</v>
      </c>
      <c r="G312" s="1116">
        <f t="shared" si="46"/>
        <v>0</v>
      </c>
      <c r="H312" s="976"/>
      <c r="I312" s="1117">
        <f t="shared" si="53"/>
        <v>0</v>
      </c>
      <c r="J312" s="1117">
        <f t="shared" si="53"/>
        <v>0</v>
      </c>
      <c r="K312" s="1320"/>
      <c r="L312" s="1000" t="str">
        <f t="shared" si="47"/>
        <v/>
      </c>
      <c r="M312" s="1118">
        <f t="shared" si="48"/>
        <v>0</v>
      </c>
      <c r="N312" s="976"/>
      <c r="O312" s="1119">
        <f t="shared" si="55"/>
        <v>0</v>
      </c>
      <c r="P312" s="1119">
        <f t="shared" si="54"/>
        <v>0</v>
      </c>
      <c r="Q312" s="1119">
        <f t="shared" si="54"/>
        <v>0</v>
      </c>
      <c r="R312" s="1119">
        <f t="shared" si="54"/>
        <v>0</v>
      </c>
      <c r="S312" s="1119">
        <f t="shared" si="54"/>
        <v>0</v>
      </c>
      <c r="T312" s="1119">
        <f t="shared" si="54"/>
        <v>0</v>
      </c>
      <c r="U312" s="1119">
        <f t="shared" si="54"/>
        <v>0</v>
      </c>
      <c r="V312" s="1119">
        <f t="shared" si="54"/>
        <v>0</v>
      </c>
      <c r="W312" s="1119">
        <f t="shared" si="54"/>
        <v>0</v>
      </c>
      <c r="X312" s="978"/>
      <c r="Y312" s="1120">
        <f t="shared" si="49"/>
        <v>0</v>
      </c>
      <c r="Z312" s="1354"/>
      <c r="AA312" s="1001">
        <v>0</v>
      </c>
      <c r="AB312" s="978"/>
      <c r="AC312" s="1036">
        <f t="shared" si="50"/>
        <v>0</v>
      </c>
      <c r="AD312" s="783">
        <f t="shared" si="51"/>
        <v>0</v>
      </c>
      <c r="AE312" s="1321"/>
      <c r="AF312" s="1322"/>
      <c r="AG312" s="740"/>
    </row>
    <row r="313" spans="1:33">
      <c r="A313" s="96">
        <v>300830</v>
      </c>
      <c r="B313" s="1286" t="s">
        <v>410</v>
      </c>
      <c r="C313" s="782">
        <f>'TAR_Tab 2_Volumina'!N316</f>
        <v>0</v>
      </c>
      <c r="D313" s="976"/>
      <c r="E313" s="1318">
        <v>0</v>
      </c>
      <c r="F313" s="1116">
        <f t="shared" si="45"/>
        <v>0</v>
      </c>
      <c r="G313" s="1116">
        <f t="shared" si="46"/>
        <v>0</v>
      </c>
      <c r="H313" s="976"/>
      <c r="I313" s="1117">
        <f t="shared" si="53"/>
        <v>0</v>
      </c>
      <c r="J313" s="1117">
        <f t="shared" si="53"/>
        <v>0</v>
      </c>
      <c r="K313" s="1320"/>
      <c r="L313" s="1000" t="str">
        <f t="shared" si="47"/>
        <v/>
      </c>
      <c r="M313" s="1118">
        <f t="shared" si="48"/>
        <v>0</v>
      </c>
      <c r="N313" s="976"/>
      <c r="O313" s="1119">
        <f t="shared" si="55"/>
        <v>0</v>
      </c>
      <c r="P313" s="1119">
        <f t="shared" si="54"/>
        <v>0</v>
      </c>
      <c r="Q313" s="1119">
        <f t="shared" si="54"/>
        <v>0</v>
      </c>
      <c r="R313" s="1119">
        <f t="shared" si="54"/>
        <v>0</v>
      </c>
      <c r="S313" s="1119">
        <f t="shared" si="54"/>
        <v>0</v>
      </c>
      <c r="T313" s="1119">
        <f t="shared" si="54"/>
        <v>0</v>
      </c>
      <c r="U313" s="1119">
        <f t="shared" si="54"/>
        <v>0</v>
      </c>
      <c r="V313" s="1119">
        <f t="shared" si="54"/>
        <v>0</v>
      </c>
      <c r="W313" s="1119">
        <f t="shared" si="54"/>
        <v>0</v>
      </c>
      <c r="X313" s="978"/>
      <c r="Y313" s="1120">
        <f t="shared" si="49"/>
        <v>0</v>
      </c>
      <c r="Z313" s="1354"/>
      <c r="AA313" s="1001">
        <v>0</v>
      </c>
      <c r="AB313" s="978"/>
      <c r="AC313" s="1036">
        <f t="shared" si="50"/>
        <v>0</v>
      </c>
      <c r="AD313" s="783">
        <f t="shared" si="51"/>
        <v>0</v>
      </c>
      <c r="AE313" s="1321"/>
      <c r="AF313" s="1322"/>
      <c r="AG313" s="740"/>
    </row>
    <row r="314" spans="1:33">
      <c r="A314" s="96">
        <v>300840</v>
      </c>
      <c r="B314" s="1286" t="s">
        <v>652</v>
      </c>
      <c r="C314" s="782">
        <f>'TAR_Tab 2_Volumina'!N317</f>
        <v>0</v>
      </c>
      <c r="D314" s="976"/>
      <c r="E314" s="1318">
        <v>0</v>
      </c>
      <c r="F314" s="1116">
        <f t="shared" si="45"/>
        <v>0</v>
      </c>
      <c r="G314" s="1116">
        <f t="shared" si="46"/>
        <v>0</v>
      </c>
      <c r="H314" s="976"/>
      <c r="I314" s="1117">
        <f t="shared" si="53"/>
        <v>0</v>
      </c>
      <c r="J314" s="1117">
        <f t="shared" si="53"/>
        <v>0</v>
      </c>
      <c r="K314" s="1320"/>
      <c r="L314" s="1000" t="str">
        <f t="shared" si="47"/>
        <v/>
      </c>
      <c r="M314" s="1118">
        <f t="shared" si="48"/>
        <v>0</v>
      </c>
      <c r="N314" s="976"/>
      <c r="O314" s="1119">
        <f t="shared" si="55"/>
        <v>0</v>
      </c>
      <c r="P314" s="1119">
        <f t="shared" si="54"/>
        <v>0</v>
      </c>
      <c r="Q314" s="1119">
        <f t="shared" si="54"/>
        <v>0</v>
      </c>
      <c r="R314" s="1119">
        <f t="shared" si="54"/>
        <v>0</v>
      </c>
      <c r="S314" s="1119">
        <f t="shared" si="54"/>
        <v>0</v>
      </c>
      <c r="T314" s="1119">
        <f t="shared" si="54"/>
        <v>0</v>
      </c>
      <c r="U314" s="1119">
        <f t="shared" si="54"/>
        <v>0</v>
      </c>
      <c r="V314" s="1119">
        <f t="shared" si="54"/>
        <v>0</v>
      </c>
      <c r="W314" s="1119">
        <f t="shared" si="54"/>
        <v>0</v>
      </c>
      <c r="X314" s="978"/>
      <c r="Y314" s="1120">
        <f t="shared" si="49"/>
        <v>0</v>
      </c>
      <c r="Z314" s="1354"/>
      <c r="AA314" s="1001">
        <v>0</v>
      </c>
      <c r="AB314" s="978"/>
      <c r="AC314" s="1036">
        <f t="shared" si="50"/>
        <v>0</v>
      </c>
      <c r="AD314" s="783">
        <f t="shared" si="51"/>
        <v>0</v>
      </c>
      <c r="AE314" s="1321"/>
      <c r="AF314" s="1322"/>
      <c r="AG314" s="740"/>
    </row>
    <row r="315" spans="1:33">
      <c r="A315" s="96">
        <v>300843</v>
      </c>
      <c r="B315" s="1286" t="s">
        <v>411</v>
      </c>
      <c r="C315" s="782">
        <f>'TAR_Tab 2_Volumina'!N318</f>
        <v>0</v>
      </c>
      <c r="D315" s="976"/>
      <c r="E315" s="1318">
        <v>0</v>
      </c>
      <c r="F315" s="1116">
        <f t="shared" si="45"/>
        <v>0</v>
      </c>
      <c r="G315" s="1116">
        <f t="shared" si="46"/>
        <v>0</v>
      </c>
      <c r="H315" s="976"/>
      <c r="I315" s="1117">
        <f t="shared" si="53"/>
        <v>0</v>
      </c>
      <c r="J315" s="1117">
        <f t="shared" si="53"/>
        <v>0</v>
      </c>
      <c r="K315" s="1320"/>
      <c r="L315" s="1000" t="str">
        <f t="shared" si="47"/>
        <v/>
      </c>
      <c r="M315" s="1118">
        <f t="shared" si="48"/>
        <v>0</v>
      </c>
      <c r="N315" s="976"/>
      <c r="O315" s="1119">
        <f t="shared" si="55"/>
        <v>0</v>
      </c>
      <c r="P315" s="1119">
        <f t="shared" si="54"/>
        <v>0</v>
      </c>
      <c r="Q315" s="1119">
        <f t="shared" si="54"/>
        <v>0</v>
      </c>
      <c r="R315" s="1119">
        <f t="shared" si="54"/>
        <v>0</v>
      </c>
      <c r="S315" s="1119">
        <f t="shared" si="54"/>
        <v>0</v>
      </c>
      <c r="T315" s="1119">
        <f t="shared" si="54"/>
        <v>0</v>
      </c>
      <c r="U315" s="1119">
        <f t="shared" si="54"/>
        <v>0</v>
      </c>
      <c r="V315" s="1119">
        <f t="shared" si="54"/>
        <v>0</v>
      </c>
      <c r="W315" s="1119">
        <f t="shared" si="54"/>
        <v>0</v>
      </c>
      <c r="X315" s="978"/>
      <c r="Y315" s="1120">
        <f t="shared" si="49"/>
        <v>0</v>
      </c>
      <c r="Z315" s="1354"/>
      <c r="AA315" s="1001">
        <v>0</v>
      </c>
      <c r="AB315" s="978"/>
      <c r="AC315" s="1036">
        <f t="shared" si="50"/>
        <v>0</v>
      </c>
      <c r="AD315" s="783">
        <f t="shared" si="51"/>
        <v>0</v>
      </c>
      <c r="AE315" s="1321"/>
      <c r="AF315" s="1322"/>
      <c r="AG315" s="740"/>
    </row>
    <row r="316" spans="1:33">
      <c r="A316" s="96">
        <v>300844</v>
      </c>
      <c r="B316" s="1286" t="s">
        <v>412</v>
      </c>
      <c r="C316" s="782">
        <f>'TAR_Tab 2_Volumina'!N319</f>
        <v>0</v>
      </c>
      <c r="D316" s="976"/>
      <c r="E316" s="1318">
        <v>0</v>
      </c>
      <c r="F316" s="1116">
        <f t="shared" si="45"/>
        <v>0</v>
      </c>
      <c r="G316" s="1116">
        <f t="shared" si="46"/>
        <v>0</v>
      </c>
      <c r="H316" s="976"/>
      <c r="I316" s="1117">
        <f t="shared" si="53"/>
        <v>0</v>
      </c>
      <c r="J316" s="1117">
        <f t="shared" si="53"/>
        <v>0</v>
      </c>
      <c r="K316" s="1320"/>
      <c r="L316" s="1000" t="str">
        <f t="shared" si="47"/>
        <v/>
      </c>
      <c r="M316" s="1118">
        <f t="shared" si="48"/>
        <v>0</v>
      </c>
      <c r="N316" s="976"/>
      <c r="O316" s="1119">
        <f t="shared" si="55"/>
        <v>0</v>
      </c>
      <c r="P316" s="1119">
        <f t="shared" si="54"/>
        <v>0</v>
      </c>
      <c r="Q316" s="1119">
        <f t="shared" si="54"/>
        <v>0</v>
      </c>
      <c r="R316" s="1119">
        <f t="shared" si="54"/>
        <v>0</v>
      </c>
      <c r="S316" s="1119">
        <f t="shared" si="54"/>
        <v>0</v>
      </c>
      <c r="T316" s="1119">
        <f t="shared" si="54"/>
        <v>0</v>
      </c>
      <c r="U316" s="1119">
        <f t="shared" si="54"/>
        <v>0</v>
      </c>
      <c r="V316" s="1119">
        <f t="shared" si="54"/>
        <v>0</v>
      </c>
      <c r="W316" s="1119">
        <f t="shared" si="54"/>
        <v>0</v>
      </c>
      <c r="X316" s="978"/>
      <c r="Y316" s="1120">
        <f t="shared" si="49"/>
        <v>0</v>
      </c>
      <c r="Z316" s="1354"/>
      <c r="AA316" s="1001">
        <v>0</v>
      </c>
      <c r="AB316" s="978"/>
      <c r="AC316" s="1036">
        <f t="shared" si="50"/>
        <v>0</v>
      </c>
      <c r="AD316" s="783">
        <f t="shared" si="51"/>
        <v>0</v>
      </c>
      <c r="AE316" s="1321"/>
      <c r="AF316" s="1322"/>
      <c r="AG316" s="740"/>
    </row>
    <row r="317" spans="1:33">
      <c r="A317" s="96">
        <v>300846</v>
      </c>
      <c r="B317" s="1286" t="s">
        <v>413</v>
      </c>
      <c r="C317" s="782">
        <f>'TAR_Tab 2_Volumina'!N320</f>
        <v>0</v>
      </c>
      <c r="D317" s="976"/>
      <c r="E317" s="1318">
        <v>0</v>
      </c>
      <c r="F317" s="1116">
        <f t="shared" si="45"/>
        <v>0</v>
      </c>
      <c r="G317" s="1116">
        <f t="shared" si="46"/>
        <v>0</v>
      </c>
      <c r="H317" s="976"/>
      <c r="I317" s="1117">
        <f t="shared" si="53"/>
        <v>0</v>
      </c>
      <c r="J317" s="1117">
        <f t="shared" si="53"/>
        <v>0</v>
      </c>
      <c r="K317" s="1320"/>
      <c r="L317" s="1000" t="str">
        <f t="shared" si="47"/>
        <v/>
      </c>
      <c r="M317" s="1118">
        <f t="shared" si="48"/>
        <v>0</v>
      </c>
      <c r="N317" s="976"/>
      <c r="O317" s="1119">
        <f t="shared" si="55"/>
        <v>0</v>
      </c>
      <c r="P317" s="1119">
        <f t="shared" si="54"/>
        <v>0</v>
      </c>
      <c r="Q317" s="1119">
        <f t="shared" si="54"/>
        <v>0</v>
      </c>
      <c r="R317" s="1119">
        <f t="shared" si="54"/>
        <v>0</v>
      </c>
      <c r="S317" s="1119">
        <f t="shared" si="54"/>
        <v>0</v>
      </c>
      <c r="T317" s="1119">
        <f t="shared" si="54"/>
        <v>0</v>
      </c>
      <c r="U317" s="1119">
        <f t="shared" si="54"/>
        <v>0</v>
      </c>
      <c r="V317" s="1119">
        <f t="shared" si="54"/>
        <v>0</v>
      </c>
      <c r="W317" s="1119">
        <f t="shared" si="54"/>
        <v>0</v>
      </c>
      <c r="X317" s="978"/>
      <c r="Y317" s="1120">
        <f t="shared" si="49"/>
        <v>0</v>
      </c>
      <c r="Z317" s="1354"/>
      <c r="AA317" s="1001">
        <v>0</v>
      </c>
      <c r="AB317" s="978"/>
      <c r="AC317" s="1036">
        <f t="shared" si="50"/>
        <v>0</v>
      </c>
      <c r="AD317" s="783">
        <f t="shared" si="51"/>
        <v>0</v>
      </c>
      <c r="AE317" s="1321"/>
      <c r="AF317" s="1322"/>
      <c r="AG317" s="740"/>
    </row>
    <row r="318" spans="1:33">
      <c r="A318" s="96">
        <v>300847</v>
      </c>
      <c r="B318" s="1286" t="s">
        <v>414</v>
      </c>
      <c r="C318" s="782">
        <f>'TAR_Tab 2_Volumina'!N321</f>
        <v>0</v>
      </c>
      <c r="D318" s="976"/>
      <c r="E318" s="1318">
        <v>0</v>
      </c>
      <c r="F318" s="1116">
        <f t="shared" si="45"/>
        <v>0</v>
      </c>
      <c r="G318" s="1116">
        <f t="shared" si="46"/>
        <v>0</v>
      </c>
      <c r="H318" s="976"/>
      <c r="I318" s="1117">
        <f t="shared" si="53"/>
        <v>0</v>
      </c>
      <c r="J318" s="1117">
        <f t="shared" si="53"/>
        <v>0</v>
      </c>
      <c r="K318" s="1320"/>
      <c r="L318" s="1000" t="str">
        <f t="shared" si="47"/>
        <v/>
      </c>
      <c r="M318" s="1118">
        <f t="shared" si="48"/>
        <v>0</v>
      </c>
      <c r="N318" s="976"/>
      <c r="O318" s="1119">
        <f t="shared" si="55"/>
        <v>0</v>
      </c>
      <c r="P318" s="1119">
        <f t="shared" si="54"/>
        <v>0</v>
      </c>
      <c r="Q318" s="1119">
        <f t="shared" si="54"/>
        <v>0</v>
      </c>
      <c r="R318" s="1119">
        <f t="shared" si="54"/>
        <v>0</v>
      </c>
      <c r="S318" s="1119">
        <f t="shared" si="54"/>
        <v>0</v>
      </c>
      <c r="T318" s="1119">
        <f t="shared" si="54"/>
        <v>0</v>
      </c>
      <c r="U318" s="1119">
        <f t="shared" si="54"/>
        <v>0</v>
      </c>
      <c r="V318" s="1119">
        <f t="shared" si="54"/>
        <v>0</v>
      </c>
      <c r="W318" s="1119">
        <f t="shared" si="54"/>
        <v>0</v>
      </c>
      <c r="X318" s="978"/>
      <c r="Y318" s="1120">
        <f t="shared" si="49"/>
        <v>0</v>
      </c>
      <c r="Z318" s="1354"/>
      <c r="AA318" s="1001">
        <v>0</v>
      </c>
      <c r="AB318" s="978"/>
      <c r="AC318" s="1036">
        <f t="shared" si="50"/>
        <v>0</v>
      </c>
      <c r="AD318" s="783">
        <f t="shared" si="51"/>
        <v>0</v>
      </c>
      <c r="AE318" s="1321"/>
      <c r="AF318" s="1322"/>
      <c r="AG318" s="740"/>
    </row>
    <row r="319" spans="1:33">
      <c r="A319" s="96">
        <v>300851</v>
      </c>
      <c r="B319" s="1286" t="s">
        <v>416</v>
      </c>
      <c r="C319" s="782">
        <f>'TAR_Tab 2_Volumina'!N322</f>
        <v>0</v>
      </c>
      <c r="D319" s="976"/>
      <c r="E319" s="1318">
        <v>0</v>
      </c>
      <c r="F319" s="1116">
        <f t="shared" si="45"/>
        <v>0</v>
      </c>
      <c r="G319" s="1116">
        <f t="shared" si="46"/>
        <v>0</v>
      </c>
      <c r="H319" s="976"/>
      <c r="I319" s="1117">
        <f t="shared" si="53"/>
        <v>0</v>
      </c>
      <c r="J319" s="1117">
        <f t="shared" si="53"/>
        <v>0</v>
      </c>
      <c r="K319" s="1320"/>
      <c r="L319" s="1000" t="str">
        <f t="shared" si="47"/>
        <v/>
      </c>
      <c r="M319" s="1118">
        <f t="shared" si="48"/>
        <v>0</v>
      </c>
      <c r="N319" s="976"/>
      <c r="O319" s="1119">
        <f t="shared" si="55"/>
        <v>0</v>
      </c>
      <c r="P319" s="1119">
        <f t="shared" si="54"/>
        <v>0</v>
      </c>
      <c r="Q319" s="1119">
        <f t="shared" si="54"/>
        <v>0</v>
      </c>
      <c r="R319" s="1119">
        <f t="shared" si="54"/>
        <v>0</v>
      </c>
      <c r="S319" s="1119">
        <f t="shared" si="54"/>
        <v>0</v>
      </c>
      <c r="T319" s="1119">
        <f t="shared" si="54"/>
        <v>0</v>
      </c>
      <c r="U319" s="1119">
        <f t="shared" si="54"/>
        <v>0</v>
      </c>
      <c r="V319" s="1119">
        <f t="shared" si="54"/>
        <v>0</v>
      </c>
      <c r="W319" s="1119">
        <f t="shared" si="54"/>
        <v>0</v>
      </c>
      <c r="X319" s="978"/>
      <c r="Y319" s="1120">
        <f t="shared" si="49"/>
        <v>0</v>
      </c>
      <c r="Z319" s="1354"/>
      <c r="AA319" s="1001">
        <v>0</v>
      </c>
      <c r="AB319" s="978"/>
      <c r="AC319" s="1036">
        <f t="shared" si="50"/>
        <v>0</v>
      </c>
      <c r="AD319" s="783">
        <f t="shared" si="51"/>
        <v>0</v>
      </c>
      <c r="AE319" s="1321"/>
      <c r="AF319" s="1322"/>
      <c r="AG319" s="740"/>
    </row>
    <row r="320" spans="1:33">
      <c r="A320" s="96">
        <v>300852</v>
      </c>
      <c r="B320" s="1286" t="s">
        <v>417</v>
      </c>
      <c r="C320" s="782">
        <f>'TAR_Tab 2_Volumina'!N323</f>
        <v>0</v>
      </c>
      <c r="D320" s="976"/>
      <c r="E320" s="1318">
        <v>0</v>
      </c>
      <c r="F320" s="1116">
        <f t="shared" si="45"/>
        <v>0</v>
      </c>
      <c r="G320" s="1116">
        <f t="shared" si="46"/>
        <v>0</v>
      </c>
      <c r="H320" s="976"/>
      <c r="I320" s="1117">
        <f t="shared" si="53"/>
        <v>0</v>
      </c>
      <c r="J320" s="1117">
        <f t="shared" si="53"/>
        <v>0</v>
      </c>
      <c r="K320" s="1320"/>
      <c r="L320" s="1000" t="str">
        <f t="shared" si="47"/>
        <v/>
      </c>
      <c r="M320" s="1118">
        <f t="shared" si="48"/>
        <v>0</v>
      </c>
      <c r="N320" s="976"/>
      <c r="O320" s="1119">
        <f t="shared" si="55"/>
        <v>0</v>
      </c>
      <c r="P320" s="1119">
        <f t="shared" si="54"/>
        <v>0</v>
      </c>
      <c r="Q320" s="1119">
        <f t="shared" si="54"/>
        <v>0</v>
      </c>
      <c r="R320" s="1119">
        <f t="shared" si="54"/>
        <v>0</v>
      </c>
      <c r="S320" s="1119">
        <f t="shared" si="54"/>
        <v>0</v>
      </c>
      <c r="T320" s="1119">
        <f t="shared" si="54"/>
        <v>0</v>
      </c>
      <c r="U320" s="1119">
        <f t="shared" si="54"/>
        <v>0</v>
      </c>
      <c r="V320" s="1119">
        <f t="shared" si="54"/>
        <v>0</v>
      </c>
      <c r="W320" s="1119">
        <f t="shared" si="54"/>
        <v>0</v>
      </c>
      <c r="X320" s="978"/>
      <c r="Y320" s="1120">
        <f t="shared" si="49"/>
        <v>0</v>
      </c>
      <c r="Z320" s="1354"/>
      <c r="AA320" s="1001">
        <v>0</v>
      </c>
      <c r="AB320" s="978"/>
      <c r="AC320" s="1036">
        <f t="shared" si="50"/>
        <v>0</v>
      </c>
      <c r="AD320" s="783">
        <f t="shared" si="51"/>
        <v>0</v>
      </c>
      <c r="AE320" s="1321"/>
      <c r="AF320" s="1322"/>
      <c r="AG320" s="740"/>
    </row>
    <row r="321" spans="1:33">
      <c r="A321" s="96">
        <v>300854</v>
      </c>
      <c r="B321" s="1286" t="s">
        <v>418</v>
      </c>
      <c r="C321" s="782">
        <f>'TAR_Tab 2_Volumina'!N324</f>
        <v>0</v>
      </c>
      <c r="D321" s="976"/>
      <c r="E321" s="1318">
        <v>0</v>
      </c>
      <c r="F321" s="1116">
        <f t="shared" si="45"/>
        <v>0</v>
      </c>
      <c r="G321" s="1116">
        <f t="shared" si="46"/>
        <v>0</v>
      </c>
      <c r="H321" s="976"/>
      <c r="I321" s="1117">
        <f t="shared" si="53"/>
        <v>0</v>
      </c>
      <c r="J321" s="1117">
        <f t="shared" si="53"/>
        <v>0</v>
      </c>
      <c r="K321" s="1320"/>
      <c r="L321" s="1000" t="str">
        <f t="shared" si="47"/>
        <v/>
      </c>
      <c r="M321" s="1118">
        <f t="shared" si="48"/>
        <v>0</v>
      </c>
      <c r="N321" s="976"/>
      <c r="O321" s="1119">
        <f t="shared" si="55"/>
        <v>0</v>
      </c>
      <c r="P321" s="1119">
        <f t="shared" si="54"/>
        <v>0</v>
      </c>
      <c r="Q321" s="1119">
        <f t="shared" si="54"/>
        <v>0</v>
      </c>
      <c r="R321" s="1119">
        <f t="shared" si="54"/>
        <v>0</v>
      </c>
      <c r="S321" s="1119">
        <f t="shared" si="54"/>
        <v>0</v>
      </c>
      <c r="T321" s="1119">
        <f t="shared" si="54"/>
        <v>0</v>
      </c>
      <c r="U321" s="1119">
        <f t="shared" si="54"/>
        <v>0</v>
      </c>
      <c r="V321" s="1119">
        <f t="shared" si="54"/>
        <v>0</v>
      </c>
      <c r="W321" s="1119">
        <f t="shared" si="54"/>
        <v>0</v>
      </c>
      <c r="X321" s="978"/>
      <c r="Y321" s="1120">
        <f t="shared" si="49"/>
        <v>0</v>
      </c>
      <c r="Z321" s="1354"/>
      <c r="AA321" s="1001">
        <v>0</v>
      </c>
      <c r="AB321" s="978"/>
      <c r="AC321" s="1036">
        <f t="shared" si="50"/>
        <v>0</v>
      </c>
      <c r="AD321" s="783">
        <f t="shared" si="51"/>
        <v>0</v>
      </c>
      <c r="AE321" s="1321"/>
      <c r="AF321" s="1322"/>
      <c r="AG321" s="740"/>
    </row>
    <row r="322" spans="1:33">
      <c r="A322" s="96">
        <v>300855</v>
      </c>
      <c r="B322" s="1286" t="s">
        <v>303</v>
      </c>
      <c r="C322" s="782">
        <f>'TAR_Tab 2_Volumina'!N325</f>
        <v>0</v>
      </c>
      <c r="D322" s="976"/>
      <c r="E322" s="1318">
        <v>0</v>
      </c>
      <c r="F322" s="1116">
        <f t="shared" si="45"/>
        <v>0</v>
      </c>
      <c r="G322" s="1116">
        <f t="shared" si="46"/>
        <v>0</v>
      </c>
      <c r="H322" s="976"/>
      <c r="I322" s="1117">
        <f t="shared" si="53"/>
        <v>0</v>
      </c>
      <c r="J322" s="1117">
        <f t="shared" si="53"/>
        <v>0</v>
      </c>
      <c r="K322" s="1320"/>
      <c r="L322" s="1000" t="str">
        <f t="shared" si="47"/>
        <v/>
      </c>
      <c r="M322" s="1118">
        <f t="shared" si="48"/>
        <v>0</v>
      </c>
      <c r="N322" s="976"/>
      <c r="O322" s="1119">
        <f t="shared" si="55"/>
        <v>0</v>
      </c>
      <c r="P322" s="1119">
        <f t="shared" si="54"/>
        <v>0</v>
      </c>
      <c r="Q322" s="1119">
        <f t="shared" si="54"/>
        <v>0</v>
      </c>
      <c r="R322" s="1119">
        <f t="shared" si="54"/>
        <v>0</v>
      </c>
      <c r="S322" s="1119">
        <f t="shared" si="54"/>
        <v>0</v>
      </c>
      <c r="T322" s="1119">
        <f t="shared" si="54"/>
        <v>0</v>
      </c>
      <c r="U322" s="1119">
        <f t="shared" si="54"/>
        <v>0</v>
      </c>
      <c r="V322" s="1119">
        <f t="shared" si="54"/>
        <v>0</v>
      </c>
      <c r="W322" s="1119">
        <f t="shared" si="54"/>
        <v>0</v>
      </c>
      <c r="X322" s="978"/>
      <c r="Y322" s="1120">
        <f t="shared" si="49"/>
        <v>0</v>
      </c>
      <c r="Z322" s="1354"/>
      <c r="AA322" s="1001">
        <v>0</v>
      </c>
      <c r="AB322" s="978"/>
      <c r="AC322" s="1036">
        <f t="shared" si="50"/>
        <v>0</v>
      </c>
      <c r="AD322" s="783">
        <f t="shared" si="51"/>
        <v>0</v>
      </c>
      <c r="AE322" s="1321"/>
      <c r="AF322" s="1322"/>
      <c r="AG322" s="740"/>
    </row>
    <row r="323" spans="1:33">
      <c r="A323" s="96">
        <v>300856</v>
      </c>
      <c r="B323" s="1286" t="s">
        <v>808</v>
      </c>
      <c r="C323" s="782">
        <f>'TAR_Tab 2_Volumina'!N326</f>
        <v>0</v>
      </c>
      <c r="D323" s="976"/>
      <c r="E323" s="1318">
        <v>0</v>
      </c>
      <c r="F323" s="1116">
        <f t="shared" si="45"/>
        <v>0</v>
      </c>
      <c r="G323" s="1116">
        <f t="shared" si="46"/>
        <v>0</v>
      </c>
      <c r="H323" s="976"/>
      <c r="I323" s="1117">
        <f t="shared" si="53"/>
        <v>0</v>
      </c>
      <c r="J323" s="1117">
        <f t="shared" si="53"/>
        <v>0</v>
      </c>
      <c r="K323" s="1320"/>
      <c r="L323" s="1000" t="str">
        <f t="shared" si="47"/>
        <v/>
      </c>
      <c r="M323" s="1118">
        <f t="shared" si="48"/>
        <v>0</v>
      </c>
      <c r="N323" s="976"/>
      <c r="O323" s="1119">
        <f t="shared" si="55"/>
        <v>0</v>
      </c>
      <c r="P323" s="1119">
        <f t="shared" si="54"/>
        <v>0</v>
      </c>
      <c r="Q323" s="1119">
        <f t="shared" si="54"/>
        <v>0</v>
      </c>
      <c r="R323" s="1119">
        <f t="shared" si="54"/>
        <v>0</v>
      </c>
      <c r="S323" s="1119">
        <f t="shared" si="54"/>
        <v>0</v>
      </c>
      <c r="T323" s="1119">
        <f t="shared" si="54"/>
        <v>0</v>
      </c>
      <c r="U323" s="1119">
        <f t="shared" si="54"/>
        <v>0</v>
      </c>
      <c r="V323" s="1119">
        <f t="shared" si="54"/>
        <v>0</v>
      </c>
      <c r="W323" s="1119">
        <f t="shared" si="54"/>
        <v>0</v>
      </c>
      <c r="X323" s="978"/>
      <c r="Y323" s="1120">
        <f t="shared" si="49"/>
        <v>0</v>
      </c>
      <c r="Z323" s="1354"/>
      <c r="AA323" s="1001">
        <v>0</v>
      </c>
      <c r="AB323" s="978"/>
      <c r="AC323" s="1036">
        <f t="shared" si="50"/>
        <v>0</v>
      </c>
      <c r="AD323" s="783">
        <f t="shared" si="51"/>
        <v>0</v>
      </c>
      <c r="AE323" s="1321"/>
      <c r="AF323" s="1322"/>
      <c r="AG323" s="740"/>
    </row>
    <row r="324" spans="1:33">
      <c r="A324" s="96">
        <v>300857</v>
      </c>
      <c r="B324" s="1286" t="s">
        <v>419</v>
      </c>
      <c r="C324" s="782">
        <f>'TAR_Tab 2_Volumina'!N327</f>
        <v>0</v>
      </c>
      <c r="D324" s="976"/>
      <c r="E324" s="1318">
        <v>0</v>
      </c>
      <c r="F324" s="1116">
        <f t="shared" si="45"/>
        <v>0</v>
      </c>
      <c r="G324" s="1116">
        <f t="shared" si="46"/>
        <v>0</v>
      </c>
      <c r="H324" s="976"/>
      <c r="I324" s="1117">
        <f t="shared" si="53"/>
        <v>0</v>
      </c>
      <c r="J324" s="1117">
        <f t="shared" si="53"/>
        <v>0</v>
      </c>
      <c r="K324" s="1320"/>
      <c r="L324" s="1000" t="str">
        <f t="shared" si="47"/>
        <v/>
      </c>
      <c r="M324" s="1118">
        <f t="shared" si="48"/>
        <v>0</v>
      </c>
      <c r="N324" s="976"/>
      <c r="O324" s="1119">
        <f t="shared" si="55"/>
        <v>0</v>
      </c>
      <c r="P324" s="1119">
        <f t="shared" si="54"/>
        <v>0</v>
      </c>
      <c r="Q324" s="1119">
        <f t="shared" si="54"/>
        <v>0</v>
      </c>
      <c r="R324" s="1119">
        <f t="shared" si="54"/>
        <v>0</v>
      </c>
      <c r="S324" s="1119">
        <f t="shared" si="54"/>
        <v>0</v>
      </c>
      <c r="T324" s="1119">
        <f t="shared" si="54"/>
        <v>0</v>
      </c>
      <c r="U324" s="1119">
        <f t="shared" si="54"/>
        <v>0</v>
      </c>
      <c r="V324" s="1119">
        <f t="shared" si="54"/>
        <v>0</v>
      </c>
      <c r="W324" s="1119">
        <f t="shared" si="54"/>
        <v>0</v>
      </c>
      <c r="X324" s="978"/>
      <c r="Y324" s="1120">
        <f t="shared" si="49"/>
        <v>0</v>
      </c>
      <c r="Z324" s="1354"/>
      <c r="AA324" s="1001">
        <v>0</v>
      </c>
      <c r="AB324" s="978"/>
      <c r="AC324" s="1036">
        <f t="shared" si="50"/>
        <v>0</v>
      </c>
      <c r="AD324" s="783">
        <f t="shared" si="51"/>
        <v>0</v>
      </c>
      <c r="AE324" s="1321"/>
      <c r="AF324" s="1322"/>
      <c r="AG324" s="740"/>
    </row>
    <row r="325" spans="1:33">
      <c r="A325" s="96">
        <v>300858</v>
      </c>
      <c r="B325" s="1286" t="s">
        <v>304</v>
      </c>
      <c r="C325" s="782">
        <f>'TAR_Tab 2_Volumina'!N328</f>
        <v>0</v>
      </c>
      <c r="D325" s="976"/>
      <c r="E325" s="1318">
        <v>0</v>
      </c>
      <c r="F325" s="1116">
        <f t="shared" si="45"/>
        <v>0</v>
      </c>
      <c r="G325" s="1116">
        <f t="shared" si="46"/>
        <v>0</v>
      </c>
      <c r="H325" s="976"/>
      <c r="I325" s="1117">
        <f t="shared" si="53"/>
        <v>0</v>
      </c>
      <c r="J325" s="1117">
        <f t="shared" si="53"/>
        <v>0</v>
      </c>
      <c r="K325" s="1320"/>
      <c r="L325" s="1000" t="str">
        <f t="shared" si="47"/>
        <v/>
      </c>
      <c r="M325" s="1118">
        <f t="shared" si="48"/>
        <v>0</v>
      </c>
      <c r="N325" s="976"/>
      <c r="O325" s="1119">
        <f t="shared" si="55"/>
        <v>0</v>
      </c>
      <c r="P325" s="1119">
        <f t="shared" si="54"/>
        <v>0</v>
      </c>
      <c r="Q325" s="1119">
        <f t="shared" si="54"/>
        <v>0</v>
      </c>
      <c r="R325" s="1119">
        <f t="shared" si="54"/>
        <v>0</v>
      </c>
      <c r="S325" s="1119">
        <f t="shared" si="54"/>
        <v>0</v>
      </c>
      <c r="T325" s="1119">
        <f t="shared" si="54"/>
        <v>0</v>
      </c>
      <c r="U325" s="1119">
        <f t="shared" si="54"/>
        <v>0</v>
      </c>
      <c r="V325" s="1119">
        <f t="shared" si="54"/>
        <v>0</v>
      </c>
      <c r="W325" s="1119">
        <f t="shared" si="54"/>
        <v>0</v>
      </c>
      <c r="X325" s="978"/>
      <c r="Y325" s="1120">
        <f t="shared" si="49"/>
        <v>0</v>
      </c>
      <c r="Z325" s="1354"/>
      <c r="AA325" s="1001">
        <v>0</v>
      </c>
      <c r="AB325" s="978"/>
      <c r="AC325" s="1036">
        <f t="shared" si="50"/>
        <v>0</v>
      </c>
      <c r="AD325" s="783">
        <f t="shared" si="51"/>
        <v>0</v>
      </c>
      <c r="AE325" s="1321"/>
      <c r="AF325" s="1322"/>
      <c r="AG325" s="740"/>
    </row>
    <row r="326" spans="1:33">
      <c r="A326" s="96">
        <v>300885</v>
      </c>
      <c r="B326" s="1286" t="s">
        <v>653</v>
      </c>
      <c r="C326" s="782">
        <f>'TAR_Tab 2_Volumina'!N329</f>
        <v>0</v>
      </c>
      <c r="D326" s="976"/>
      <c r="E326" s="1318">
        <v>0</v>
      </c>
      <c r="F326" s="1116">
        <f t="shared" si="45"/>
        <v>0</v>
      </c>
      <c r="G326" s="1116">
        <f t="shared" si="46"/>
        <v>0</v>
      </c>
      <c r="H326" s="976"/>
      <c r="I326" s="1117">
        <f t="shared" si="53"/>
        <v>0</v>
      </c>
      <c r="J326" s="1117">
        <f t="shared" si="53"/>
        <v>0</v>
      </c>
      <c r="K326" s="1320"/>
      <c r="L326" s="1000" t="str">
        <f t="shared" si="47"/>
        <v/>
      </c>
      <c r="M326" s="1118">
        <f t="shared" si="48"/>
        <v>0</v>
      </c>
      <c r="N326" s="976"/>
      <c r="O326" s="1119">
        <f t="shared" si="55"/>
        <v>0</v>
      </c>
      <c r="P326" s="1119">
        <f t="shared" si="54"/>
        <v>0</v>
      </c>
      <c r="Q326" s="1119">
        <f t="shared" si="54"/>
        <v>0</v>
      </c>
      <c r="R326" s="1119">
        <f t="shared" si="54"/>
        <v>0</v>
      </c>
      <c r="S326" s="1119">
        <f t="shared" si="54"/>
        <v>0</v>
      </c>
      <c r="T326" s="1119">
        <f t="shared" si="54"/>
        <v>0</v>
      </c>
      <c r="U326" s="1119">
        <f t="shared" si="54"/>
        <v>0</v>
      </c>
      <c r="V326" s="1119">
        <f t="shared" si="54"/>
        <v>0</v>
      </c>
      <c r="W326" s="1119">
        <f t="shared" si="54"/>
        <v>0</v>
      </c>
      <c r="X326" s="978"/>
      <c r="Y326" s="1120">
        <f t="shared" si="49"/>
        <v>0</v>
      </c>
      <c r="Z326" s="1354"/>
      <c r="AA326" s="1001">
        <v>0</v>
      </c>
      <c r="AB326" s="978"/>
      <c r="AC326" s="1036">
        <f t="shared" si="50"/>
        <v>0</v>
      </c>
      <c r="AD326" s="783">
        <f t="shared" si="51"/>
        <v>0</v>
      </c>
      <c r="AE326" s="1321"/>
      <c r="AF326" s="1322"/>
      <c r="AG326" s="740"/>
    </row>
    <row r="327" spans="1:33">
      <c r="A327" s="96">
        <v>300887</v>
      </c>
      <c r="B327" s="1286" t="s">
        <v>809</v>
      </c>
      <c r="C327" s="782">
        <f>'TAR_Tab 2_Volumina'!N330</f>
        <v>1</v>
      </c>
      <c r="D327" s="976"/>
      <c r="E327" s="1318">
        <v>53583.041717047774</v>
      </c>
      <c r="F327" s="1116">
        <f t="shared" ref="F327:F390" si="56">E327*$F$5*C327</f>
        <v>50989.622497942662</v>
      </c>
      <c r="G327" s="1116">
        <f t="shared" ref="G327:G390" si="57">F327*$G$5</f>
        <v>52181.301246728748</v>
      </c>
      <c r="H327" s="976"/>
      <c r="I327" s="1117">
        <f t="shared" si="53"/>
        <v>49572.236184392306</v>
      </c>
      <c r="J327" s="1117">
        <f t="shared" si="53"/>
        <v>54790.36630906519</v>
      </c>
      <c r="K327" s="1320"/>
      <c r="L327" s="1000" t="str">
        <f t="shared" si="47"/>
        <v/>
      </c>
      <c r="M327" s="1118">
        <f t="shared" si="48"/>
        <v>52181.301246728748</v>
      </c>
      <c r="N327" s="976"/>
      <c r="O327" s="1119">
        <f t="shared" si="55"/>
        <v>-2420.0570244056871</v>
      </c>
      <c r="P327" s="1119">
        <f t="shared" si="54"/>
        <v>2504.114161344356</v>
      </c>
      <c r="Q327" s="1119">
        <f t="shared" si="54"/>
        <v>0</v>
      </c>
      <c r="R327" s="1119">
        <f t="shared" si="54"/>
        <v>94.336245768053928</v>
      </c>
      <c r="S327" s="1119">
        <f t="shared" si="54"/>
        <v>2184.8095447024193</v>
      </c>
      <c r="T327" s="1119">
        <f t="shared" si="54"/>
        <v>-285.92732593945556</v>
      </c>
      <c r="U327" s="1119">
        <f t="shared" si="54"/>
        <v>-10.756908833935839</v>
      </c>
      <c r="V327" s="1119">
        <f t="shared" si="54"/>
        <v>-889.40777321444534</v>
      </c>
      <c r="W327" s="1119">
        <f t="shared" si="54"/>
        <v>70.177328731093553</v>
      </c>
      <c r="X327" s="978"/>
      <c r="Y327" s="1120">
        <f t="shared" si="49"/>
        <v>53428.589494881147</v>
      </c>
      <c r="Z327" s="1354"/>
      <c r="AA327" s="1001">
        <v>0.24081885626543018</v>
      </c>
      <c r="AB327" s="978"/>
      <c r="AC327" s="1036">
        <f t="shared" si="50"/>
        <v>0.24081885626543018</v>
      </c>
      <c r="AD327" s="783">
        <f t="shared" si="51"/>
        <v>0.24099999999999999</v>
      </c>
      <c r="AE327" s="1321"/>
      <c r="AF327" s="1322"/>
      <c r="AG327" s="740"/>
    </row>
    <row r="328" spans="1:33">
      <c r="A328" s="96">
        <v>300888</v>
      </c>
      <c r="B328" s="1286" t="s">
        <v>382</v>
      </c>
      <c r="C328" s="782">
        <f>'TAR_Tab 2_Volumina'!N331</f>
        <v>0</v>
      </c>
      <c r="D328" s="976"/>
      <c r="E328" s="1318">
        <v>0</v>
      </c>
      <c r="F328" s="1116">
        <f t="shared" si="56"/>
        <v>0</v>
      </c>
      <c r="G328" s="1116">
        <f t="shared" si="57"/>
        <v>0</v>
      </c>
      <c r="H328" s="976"/>
      <c r="I328" s="1117">
        <f t="shared" si="53"/>
        <v>0</v>
      </c>
      <c r="J328" s="1117">
        <f t="shared" si="53"/>
        <v>0</v>
      </c>
      <c r="K328" s="1320"/>
      <c r="L328" s="1000" t="str">
        <f t="shared" ref="L328:L391" si="58">IF(K328&gt;0,AND(K328&gt;=I328,K328&lt;=J328),"")</f>
        <v/>
      </c>
      <c r="M328" s="1118">
        <f t="shared" ref="M328:M391" si="59">IF(K328&gt;0,K328,G328)</f>
        <v>0</v>
      </c>
      <c r="N328" s="976"/>
      <c r="O328" s="1119">
        <f t="shared" si="55"/>
        <v>0</v>
      </c>
      <c r="P328" s="1119">
        <f t="shared" si="54"/>
        <v>0</v>
      </c>
      <c r="Q328" s="1119">
        <f t="shared" si="54"/>
        <v>0</v>
      </c>
      <c r="R328" s="1119">
        <f t="shared" si="54"/>
        <v>0</v>
      </c>
      <c r="S328" s="1119">
        <f t="shared" si="54"/>
        <v>0</v>
      </c>
      <c r="T328" s="1119">
        <f t="shared" si="54"/>
        <v>0</v>
      </c>
      <c r="U328" s="1119">
        <f t="shared" si="54"/>
        <v>0</v>
      </c>
      <c r="V328" s="1119">
        <f t="shared" si="54"/>
        <v>0</v>
      </c>
      <c r="W328" s="1119">
        <f t="shared" si="54"/>
        <v>0</v>
      </c>
      <c r="X328" s="978"/>
      <c r="Y328" s="1120">
        <f t="shared" ref="Y328:Y391" si="60">M328+SUM(O328:W328)</f>
        <v>0</v>
      </c>
      <c r="Z328" s="1354"/>
      <c r="AA328" s="1001">
        <v>0</v>
      </c>
      <c r="AB328" s="978"/>
      <c r="AC328" s="1036">
        <f t="shared" ref="AC328:AC391" si="61">AA328</f>
        <v>0</v>
      </c>
      <c r="AD328" s="783">
        <f t="shared" ref="AD328:AD391" si="62">ROUND(AC328,3)</f>
        <v>0</v>
      </c>
      <c r="AE328" s="1321"/>
      <c r="AF328" s="1322"/>
      <c r="AG328" s="740"/>
    </row>
    <row r="329" spans="1:33">
      <c r="A329" s="96">
        <v>300889</v>
      </c>
      <c r="B329" s="1286" t="s">
        <v>810</v>
      </c>
      <c r="C329" s="782">
        <f>'TAR_Tab 2_Volumina'!N332</f>
        <v>0</v>
      </c>
      <c r="D329" s="976"/>
      <c r="E329" s="1318">
        <v>0</v>
      </c>
      <c r="F329" s="1116">
        <f t="shared" si="56"/>
        <v>0</v>
      </c>
      <c r="G329" s="1116">
        <f t="shared" si="57"/>
        <v>0</v>
      </c>
      <c r="H329" s="976"/>
      <c r="I329" s="1117">
        <f t="shared" si="53"/>
        <v>0</v>
      </c>
      <c r="J329" s="1117">
        <f t="shared" si="53"/>
        <v>0</v>
      </c>
      <c r="K329" s="1320"/>
      <c r="L329" s="1000" t="str">
        <f t="shared" si="58"/>
        <v/>
      </c>
      <c r="M329" s="1118">
        <f t="shared" si="59"/>
        <v>0</v>
      </c>
      <c r="N329" s="976"/>
      <c r="O329" s="1119">
        <f t="shared" si="55"/>
        <v>0</v>
      </c>
      <c r="P329" s="1119">
        <f t="shared" si="54"/>
        <v>0</v>
      </c>
      <c r="Q329" s="1119">
        <f t="shared" si="54"/>
        <v>0</v>
      </c>
      <c r="R329" s="1119">
        <f t="shared" si="54"/>
        <v>0</v>
      </c>
      <c r="S329" s="1119">
        <f t="shared" si="54"/>
        <v>0</v>
      </c>
      <c r="T329" s="1119">
        <f t="shared" ref="P329:W361" si="63">$M329*T$5</f>
        <v>0</v>
      </c>
      <c r="U329" s="1119">
        <f t="shared" si="63"/>
        <v>0</v>
      </c>
      <c r="V329" s="1119">
        <f t="shared" si="63"/>
        <v>0</v>
      </c>
      <c r="W329" s="1119">
        <f t="shared" si="63"/>
        <v>0</v>
      </c>
      <c r="X329" s="978"/>
      <c r="Y329" s="1120">
        <f t="shared" si="60"/>
        <v>0</v>
      </c>
      <c r="Z329" s="1354"/>
      <c r="AA329" s="1001">
        <v>0</v>
      </c>
      <c r="AB329" s="978"/>
      <c r="AC329" s="1036">
        <f t="shared" si="61"/>
        <v>0</v>
      </c>
      <c r="AD329" s="783">
        <f t="shared" si="62"/>
        <v>0</v>
      </c>
      <c r="AE329" s="1321"/>
      <c r="AF329" s="1322"/>
      <c r="AG329" s="740"/>
    </row>
    <row r="330" spans="1:33">
      <c r="A330" s="96">
        <v>300892</v>
      </c>
      <c r="B330" s="1286" t="s">
        <v>420</v>
      </c>
      <c r="C330" s="782">
        <f>'TAR_Tab 2_Volumina'!N333</f>
        <v>0</v>
      </c>
      <c r="D330" s="976"/>
      <c r="E330" s="1318">
        <v>0</v>
      </c>
      <c r="F330" s="1116">
        <f t="shared" si="56"/>
        <v>0</v>
      </c>
      <c r="G330" s="1116">
        <f t="shared" si="57"/>
        <v>0</v>
      </c>
      <c r="H330" s="976"/>
      <c r="I330" s="1117">
        <f t="shared" si="53"/>
        <v>0</v>
      </c>
      <c r="J330" s="1117">
        <f t="shared" si="53"/>
        <v>0</v>
      </c>
      <c r="K330" s="1320"/>
      <c r="L330" s="1000" t="str">
        <f t="shared" si="58"/>
        <v/>
      </c>
      <c r="M330" s="1118">
        <f t="shared" si="59"/>
        <v>0</v>
      </c>
      <c r="N330" s="976"/>
      <c r="O330" s="1119">
        <f t="shared" si="55"/>
        <v>0</v>
      </c>
      <c r="P330" s="1119">
        <f t="shared" si="63"/>
        <v>0</v>
      </c>
      <c r="Q330" s="1119">
        <f t="shared" si="63"/>
        <v>0</v>
      </c>
      <c r="R330" s="1119">
        <f t="shared" si="63"/>
        <v>0</v>
      </c>
      <c r="S330" s="1119">
        <f t="shared" si="63"/>
        <v>0</v>
      </c>
      <c r="T330" s="1119">
        <f t="shared" si="63"/>
        <v>0</v>
      </c>
      <c r="U330" s="1119">
        <f t="shared" si="63"/>
        <v>0</v>
      </c>
      <c r="V330" s="1119">
        <f t="shared" si="63"/>
        <v>0</v>
      </c>
      <c r="W330" s="1119">
        <f t="shared" si="63"/>
        <v>0</v>
      </c>
      <c r="X330" s="978"/>
      <c r="Y330" s="1120">
        <f t="shared" si="60"/>
        <v>0</v>
      </c>
      <c r="Z330" s="1354"/>
      <c r="AA330" s="1001">
        <v>0</v>
      </c>
      <c r="AB330" s="978"/>
      <c r="AC330" s="1036">
        <f t="shared" si="61"/>
        <v>0</v>
      </c>
      <c r="AD330" s="783">
        <f t="shared" si="62"/>
        <v>0</v>
      </c>
      <c r="AE330" s="1321"/>
      <c r="AF330" s="1322"/>
      <c r="AG330" s="740"/>
    </row>
    <row r="331" spans="1:33">
      <c r="A331" s="96">
        <v>300893</v>
      </c>
      <c r="B331" s="1286" t="s">
        <v>421</v>
      </c>
      <c r="C331" s="782">
        <f>'TAR_Tab 2_Volumina'!N334</f>
        <v>0</v>
      </c>
      <c r="D331" s="976"/>
      <c r="E331" s="1318">
        <v>0</v>
      </c>
      <c r="F331" s="1116">
        <f t="shared" si="56"/>
        <v>0</v>
      </c>
      <c r="G331" s="1116">
        <f t="shared" si="57"/>
        <v>0</v>
      </c>
      <c r="H331" s="976"/>
      <c r="I331" s="1117">
        <f t="shared" si="53"/>
        <v>0</v>
      </c>
      <c r="J331" s="1117">
        <f t="shared" si="53"/>
        <v>0</v>
      </c>
      <c r="K331" s="1320"/>
      <c r="L331" s="1000" t="str">
        <f t="shared" si="58"/>
        <v/>
      </c>
      <c r="M331" s="1118">
        <f t="shared" si="59"/>
        <v>0</v>
      </c>
      <c r="N331" s="976"/>
      <c r="O331" s="1119">
        <f t="shared" si="55"/>
        <v>0</v>
      </c>
      <c r="P331" s="1119">
        <f t="shared" si="63"/>
        <v>0</v>
      </c>
      <c r="Q331" s="1119">
        <f t="shared" si="63"/>
        <v>0</v>
      </c>
      <c r="R331" s="1119">
        <f t="shared" si="63"/>
        <v>0</v>
      </c>
      <c r="S331" s="1119">
        <f t="shared" si="63"/>
        <v>0</v>
      </c>
      <c r="T331" s="1119">
        <f t="shared" si="63"/>
        <v>0</v>
      </c>
      <c r="U331" s="1119">
        <f t="shared" si="63"/>
        <v>0</v>
      </c>
      <c r="V331" s="1119">
        <f t="shared" si="63"/>
        <v>0</v>
      </c>
      <c r="W331" s="1119">
        <f t="shared" si="63"/>
        <v>0</v>
      </c>
      <c r="X331" s="978"/>
      <c r="Y331" s="1120">
        <f t="shared" si="60"/>
        <v>0</v>
      </c>
      <c r="Z331" s="1354"/>
      <c r="AA331" s="1001">
        <v>0</v>
      </c>
      <c r="AB331" s="978"/>
      <c r="AC331" s="1036">
        <f t="shared" si="61"/>
        <v>0</v>
      </c>
      <c r="AD331" s="783">
        <f t="shared" si="62"/>
        <v>0</v>
      </c>
      <c r="AE331" s="1321"/>
      <c r="AF331" s="1322"/>
      <c r="AG331" s="740"/>
    </row>
    <row r="332" spans="1:33">
      <c r="A332" s="96">
        <v>300895</v>
      </c>
      <c r="B332" s="1286" t="s">
        <v>422</v>
      </c>
      <c r="C332" s="782">
        <f>'TAR_Tab 2_Volumina'!N335</f>
        <v>0</v>
      </c>
      <c r="D332" s="976"/>
      <c r="E332" s="1318">
        <v>0</v>
      </c>
      <c r="F332" s="1116">
        <f t="shared" si="56"/>
        <v>0</v>
      </c>
      <c r="G332" s="1116">
        <f t="shared" si="57"/>
        <v>0</v>
      </c>
      <c r="H332" s="976"/>
      <c r="I332" s="1117">
        <f t="shared" si="53"/>
        <v>0</v>
      </c>
      <c r="J332" s="1117">
        <f t="shared" si="53"/>
        <v>0</v>
      </c>
      <c r="K332" s="1320"/>
      <c r="L332" s="1000" t="str">
        <f t="shared" si="58"/>
        <v/>
      </c>
      <c r="M332" s="1118">
        <f t="shared" si="59"/>
        <v>0</v>
      </c>
      <c r="N332" s="976"/>
      <c r="O332" s="1119">
        <f t="shared" si="55"/>
        <v>0</v>
      </c>
      <c r="P332" s="1119">
        <f t="shared" si="63"/>
        <v>0</v>
      </c>
      <c r="Q332" s="1119">
        <f t="shared" si="63"/>
        <v>0</v>
      </c>
      <c r="R332" s="1119">
        <f t="shared" si="63"/>
        <v>0</v>
      </c>
      <c r="S332" s="1119">
        <f t="shared" si="63"/>
        <v>0</v>
      </c>
      <c r="T332" s="1119">
        <f t="shared" si="63"/>
        <v>0</v>
      </c>
      <c r="U332" s="1119">
        <f t="shared" si="63"/>
        <v>0</v>
      </c>
      <c r="V332" s="1119">
        <f t="shared" si="63"/>
        <v>0</v>
      </c>
      <c r="W332" s="1119">
        <f t="shared" si="63"/>
        <v>0</v>
      </c>
      <c r="X332" s="978"/>
      <c r="Y332" s="1120">
        <f t="shared" si="60"/>
        <v>0</v>
      </c>
      <c r="Z332" s="1354"/>
      <c r="AA332" s="1001">
        <v>0</v>
      </c>
      <c r="AB332" s="978"/>
      <c r="AC332" s="1036">
        <f t="shared" si="61"/>
        <v>0</v>
      </c>
      <c r="AD332" s="783">
        <f t="shared" si="62"/>
        <v>0</v>
      </c>
      <c r="AE332" s="1321"/>
      <c r="AF332" s="1322"/>
      <c r="AG332" s="740"/>
    </row>
    <row r="333" spans="1:33">
      <c r="A333" s="96">
        <v>300896</v>
      </c>
      <c r="B333" s="1286" t="s">
        <v>423</v>
      </c>
      <c r="C333" s="782">
        <f>'TAR_Tab 2_Volumina'!N336</f>
        <v>0</v>
      </c>
      <c r="D333" s="976"/>
      <c r="E333" s="1318">
        <v>0</v>
      </c>
      <c r="F333" s="1116">
        <f t="shared" si="56"/>
        <v>0</v>
      </c>
      <c r="G333" s="1116">
        <f t="shared" si="57"/>
        <v>0</v>
      </c>
      <c r="H333" s="976"/>
      <c r="I333" s="1117">
        <f t="shared" ref="I333:J396" si="64">$G333*I$5</f>
        <v>0</v>
      </c>
      <c r="J333" s="1117">
        <f t="shared" si="64"/>
        <v>0</v>
      </c>
      <c r="K333" s="1320"/>
      <c r="L333" s="1000" t="str">
        <f t="shared" si="58"/>
        <v/>
      </c>
      <c r="M333" s="1118">
        <f t="shared" si="59"/>
        <v>0</v>
      </c>
      <c r="N333" s="976"/>
      <c r="O333" s="1119">
        <f t="shared" si="55"/>
        <v>0</v>
      </c>
      <c r="P333" s="1119">
        <f t="shared" si="63"/>
        <v>0</v>
      </c>
      <c r="Q333" s="1119">
        <f t="shared" si="63"/>
        <v>0</v>
      </c>
      <c r="R333" s="1119">
        <f t="shared" si="63"/>
        <v>0</v>
      </c>
      <c r="S333" s="1119">
        <f t="shared" si="63"/>
        <v>0</v>
      </c>
      <c r="T333" s="1119">
        <f t="shared" si="63"/>
        <v>0</v>
      </c>
      <c r="U333" s="1119">
        <f t="shared" si="63"/>
        <v>0</v>
      </c>
      <c r="V333" s="1119">
        <f t="shared" si="63"/>
        <v>0</v>
      </c>
      <c r="W333" s="1119">
        <f t="shared" si="63"/>
        <v>0</v>
      </c>
      <c r="X333" s="978"/>
      <c r="Y333" s="1120">
        <f t="shared" si="60"/>
        <v>0</v>
      </c>
      <c r="Z333" s="1354"/>
      <c r="AA333" s="1001">
        <v>0</v>
      </c>
      <c r="AB333" s="978"/>
      <c r="AC333" s="1036">
        <f t="shared" si="61"/>
        <v>0</v>
      </c>
      <c r="AD333" s="783">
        <f t="shared" si="62"/>
        <v>0</v>
      </c>
      <c r="AE333" s="1321"/>
      <c r="AF333" s="1322"/>
      <c r="AG333" s="740"/>
    </row>
    <row r="334" spans="1:33">
      <c r="A334" s="96">
        <v>300899</v>
      </c>
      <c r="B334" s="1286" t="s">
        <v>654</v>
      </c>
      <c r="C334" s="782">
        <f>'TAR_Tab 2_Volumina'!N337</f>
        <v>0</v>
      </c>
      <c r="D334" s="976"/>
      <c r="E334" s="1318">
        <v>0</v>
      </c>
      <c r="F334" s="1116">
        <f t="shared" si="56"/>
        <v>0</v>
      </c>
      <c r="G334" s="1116">
        <f t="shared" si="57"/>
        <v>0</v>
      </c>
      <c r="H334" s="976"/>
      <c r="I334" s="1117">
        <f t="shared" si="64"/>
        <v>0</v>
      </c>
      <c r="J334" s="1117">
        <f t="shared" si="64"/>
        <v>0</v>
      </c>
      <c r="K334" s="1320"/>
      <c r="L334" s="1000" t="str">
        <f t="shared" si="58"/>
        <v/>
      </c>
      <c r="M334" s="1118">
        <f t="shared" si="59"/>
        <v>0</v>
      </c>
      <c r="N334" s="976"/>
      <c r="O334" s="1119">
        <f t="shared" si="55"/>
        <v>0</v>
      </c>
      <c r="P334" s="1119">
        <f t="shared" si="63"/>
        <v>0</v>
      </c>
      <c r="Q334" s="1119">
        <f t="shared" si="63"/>
        <v>0</v>
      </c>
      <c r="R334" s="1119">
        <f t="shared" si="63"/>
        <v>0</v>
      </c>
      <c r="S334" s="1119">
        <f t="shared" si="63"/>
        <v>0</v>
      </c>
      <c r="T334" s="1119">
        <f t="shared" si="63"/>
        <v>0</v>
      </c>
      <c r="U334" s="1119">
        <f t="shared" si="63"/>
        <v>0</v>
      </c>
      <c r="V334" s="1119">
        <f t="shared" si="63"/>
        <v>0</v>
      </c>
      <c r="W334" s="1119">
        <f t="shared" si="63"/>
        <v>0</v>
      </c>
      <c r="X334" s="978"/>
      <c r="Y334" s="1120">
        <f t="shared" si="60"/>
        <v>0</v>
      </c>
      <c r="Z334" s="1354"/>
      <c r="AA334" s="1001">
        <v>0</v>
      </c>
      <c r="AB334" s="978"/>
      <c r="AC334" s="1036">
        <f t="shared" si="61"/>
        <v>0</v>
      </c>
      <c r="AD334" s="783">
        <f t="shared" si="62"/>
        <v>0</v>
      </c>
      <c r="AE334" s="1321"/>
      <c r="AF334" s="1322"/>
      <c r="AG334" s="740"/>
    </row>
    <row r="335" spans="1:33">
      <c r="A335" s="96">
        <v>300903</v>
      </c>
      <c r="B335" s="1286" t="s">
        <v>424</v>
      </c>
      <c r="C335" s="782">
        <f>'TAR_Tab 2_Volumina'!N338</f>
        <v>0</v>
      </c>
      <c r="D335" s="976"/>
      <c r="E335" s="1318">
        <v>0</v>
      </c>
      <c r="F335" s="1116">
        <f t="shared" si="56"/>
        <v>0</v>
      </c>
      <c r="G335" s="1116">
        <f t="shared" si="57"/>
        <v>0</v>
      </c>
      <c r="H335" s="976"/>
      <c r="I335" s="1117">
        <f t="shared" si="64"/>
        <v>0</v>
      </c>
      <c r="J335" s="1117">
        <f t="shared" si="64"/>
        <v>0</v>
      </c>
      <c r="K335" s="1320"/>
      <c r="L335" s="1000" t="str">
        <f t="shared" si="58"/>
        <v/>
      </c>
      <c r="M335" s="1118">
        <f t="shared" si="59"/>
        <v>0</v>
      </c>
      <c r="N335" s="976"/>
      <c r="O335" s="1119">
        <f t="shared" si="55"/>
        <v>0</v>
      </c>
      <c r="P335" s="1119">
        <f t="shared" si="63"/>
        <v>0</v>
      </c>
      <c r="Q335" s="1119">
        <f t="shared" si="63"/>
        <v>0</v>
      </c>
      <c r="R335" s="1119">
        <f t="shared" si="63"/>
        <v>0</v>
      </c>
      <c r="S335" s="1119">
        <f t="shared" si="63"/>
        <v>0</v>
      </c>
      <c r="T335" s="1119">
        <f t="shared" si="63"/>
        <v>0</v>
      </c>
      <c r="U335" s="1119">
        <f t="shared" si="63"/>
        <v>0</v>
      </c>
      <c r="V335" s="1119">
        <f t="shared" si="63"/>
        <v>0</v>
      </c>
      <c r="W335" s="1119">
        <f t="shared" si="63"/>
        <v>0</v>
      </c>
      <c r="X335" s="978"/>
      <c r="Y335" s="1120">
        <f t="shared" si="60"/>
        <v>0</v>
      </c>
      <c r="Z335" s="1354"/>
      <c r="AA335" s="1001">
        <v>0</v>
      </c>
      <c r="AB335" s="978"/>
      <c r="AC335" s="1036">
        <f t="shared" si="61"/>
        <v>0</v>
      </c>
      <c r="AD335" s="783">
        <f t="shared" si="62"/>
        <v>0</v>
      </c>
      <c r="AE335" s="1321"/>
      <c r="AF335" s="1322"/>
      <c r="AG335" s="740"/>
    </row>
    <row r="336" spans="1:33">
      <c r="A336" s="96">
        <v>300905</v>
      </c>
      <c r="B336" s="1286" t="s">
        <v>425</v>
      </c>
      <c r="C336" s="782">
        <f>'TAR_Tab 2_Volumina'!N339</f>
        <v>0</v>
      </c>
      <c r="D336" s="976"/>
      <c r="E336" s="1318">
        <v>0</v>
      </c>
      <c r="F336" s="1116">
        <f t="shared" si="56"/>
        <v>0</v>
      </c>
      <c r="G336" s="1116">
        <f t="shared" si="57"/>
        <v>0</v>
      </c>
      <c r="H336" s="976"/>
      <c r="I336" s="1117">
        <f t="shared" si="64"/>
        <v>0</v>
      </c>
      <c r="J336" s="1117">
        <f t="shared" si="64"/>
        <v>0</v>
      </c>
      <c r="K336" s="1320"/>
      <c r="L336" s="1000" t="str">
        <f t="shared" si="58"/>
        <v/>
      </c>
      <c r="M336" s="1118">
        <f t="shared" si="59"/>
        <v>0</v>
      </c>
      <c r="N336" s="976"/>
      <c r="O336" s="1119">
        <f t="shared" si="55"/>
        <v>0</v>
      </c>
      <c r="P336" s="1119">
        <f t="shared" si="63"/>
        <v>0</v>
      </c>
      <c r="Q336" s="1119">
        <f t="shared" si="63"/>
        <v>0</v>
      </c>
      <c r="R336" s="1119">
        <f t="shared" si="63"/>
        <v>0</v>
      </c>
      <c r="S336" s="1119">
        <f t="shared" si="63"/>
        <v>0</v>
      </c>
      <c r="T336" s="1119">
        <f t="shared" si="63"/>
        <v>0</v>
      </c>
      <c r="U336" s="1119">
        <f t="shared" si="63"/>
        <v>0</v>
      </c>
      <c r="V336" s="1119">
        <f t="shared" si="63"/>
        <v>0</v>
      </c>
      <c r="W336" s="1119">
        <f t="shared" si="63"/>
        <v>0</v>
      </c>
      <c r="X336" s="978"/>
      <c r="Y336" s="1120">
        <f t="shared" si="60"/>
        <v>0</v>
      </c>
      <c r="Z336" s="1354"/>
      <c r="AA336" s="1001">
        <v>0</v>
      </c>
      <c r="AB336" s="978"/>
      <c r="AC336" s="1036">
        <f t="shared" si="61"/>
        <v>0</v>
      </c>
      <c r="AD336" s="783">
        <f t="shared" si="62"/>
        <v>0</v>
      </c>
      <c r="AE336" s="1321"/>
      <c r="AF336" s="1322"/>
      <c r="AG336" s="740"/>
    </row>
    <row r="337" spans="1:33">
      <c r="A337" s="96">
        <v>300906</v>
      </c>
      <c r="B337" s="1286" t="s">
        <v>811</v>
      </c>
      <c r="C337" s="782">
        <f>'TAR_Tab 2_Volumina'!N340</f>
        <v>0</v>
      </c>
      <c r="D337" s="976"/>
      <c r="E337" s="1318">
        <v>0</v>
      </c>
      <c r="F337" s="1116">
        <f t="shared" si="56"/>
        <v>0</v>
      </c>
      <c r="G337" s="1116">
        <f t="shared" si="57"/>
        <v>0</v>
      </c>
      <c r="H337" s="976"/>
      <c r="I337" s="1117">
        <f t="shared" si="64"/>
        <v>0</v>
      </c>
      <c r="J337" s="1117">
        <f t="shared" si="64"/>
        <v>0</v>
      </c>
      <c r="K337" s="1320"/>
      <c r="L337" s="1000" t="str">
        <f t="shared" si="58"/>
        <v/>
      </c>
      <c r="M337" s="1118">
        <f t="shared" si="59"/>
        <v>0</v>
      </c>
      <c r="N337" s="976"/>
      <c r="O337" s="1119">
        <f t="shared" si="55"/>
        <v>0</v>
      </c>
      <c r="P337" s="1119">
        <f t="shared" si="63"/>
        <v>0</v>
      </c>
      <c r="Q337" s="1119">
        <f t="shared" si="63"/>
        <v>0</v>
      </c>
      <c r="R337" s="1119">
        <f t="shared" si="63"/>
        <v>0</v>
      </c>
      <c r="S337" s="1119">
        <f t="shared" si="63"/>
        <v>0</v>
      </c>
      <c r="T337" s="1119">
        <f t="shared" si="63"/>
        <v>0</v>
      </c>
      <c r="U337" s="1119">
        <f t="shared" si="63"/>
        <v>0</v>
      </c>
      <c r="V337" s="1119">
        <f t="shared" si="63"/>
        <v>0</v>
      </c>
      <c r="W337" s="1119">
        <f t="shared" si="63"/>
        <v>0</v>
      </c>
      <c r="X337" s="978"/>
      <c r="Y337" s="1120">
        <f t="shared" si="60"/>
        <v>0</v>
      </c>
      <c r="Z337" s="1354"/>
      <c r="AA337" s="1001">
        <v>0</v>
      </c>
      <c r="AB337" s="978"/>
      <c r="AC337" s="1036">
        <f t="shared" si="61"/>
        <v>0</v>
      </c>
      <c r="AD337" s="783">
        <f t="shared" si="62"/>
        <v>0</v>
      </c>
      <c r="AE337" s="1321"/>
      <c r="AF337" s="1322"/>
      <c r="AG337" s="740"/>
    </row>
    <row r="338" spans="1:33">
      <c r="A338" s="96">
        <v>300907</v>
      </c>
      <c r="B338" s="1286" t="s">
        <v>426</v>
      </c>
      <c r="C338" s="782">
        <f>'TAR_Tab 2_Volumina'!N341</f>
        <v>0</v>
      </c>
      <c r="D338" s="976"/>
      <c r="E338" s="1318">
        <v>0</v>
      </c>
      <c r="F338" s="1116">
        <f t="shared" si="56"/>
        <v>0</v>
      </c>
      <c r="G338" s="1116">
        <f t="shared" si="57"/>
        <v>0</v>
      </c>
      <c r="H338" s="976"/>
      <c r="I338" s="1117">
        <f t="shared" si="64"/>
        <v>0</v>
      </c>
      <c r="J338" s="1117">
        <f t="shared" si="64"/>
        <v>0</v>
      </c>
      <c r="K338" s="1320"/>
      <c r="L338" s="1000" t="str">
        <f t="shared" si="58"/>
        <v/>
      </c>
      <c r="M338" s="1118">
        <f t="shared" si="59"/>
        <v>0</v>
      </c>
      <c r="N338" s="976"/>
      <c r="O338" s="1119">
        <f t="shared" si="55"/>
        <v>0</v>
      </c>
      <c r="P338" s="1119">
        <f t="shared" si="63"/>
        <v>0</v>
      </c>
      <c r="Q338" s="1119">
        <f t="shared" si="63"/>
        <v>0</v>
      </c>
      <c r="R338" s="1119">
        <f t="shared" si="63"/>
        <v>0</v>
      </c>
      <c r="S338" s="1119">
        <f t="shared" si="63"/>
        <v>0</v>
      </c>
      <c r="T338" s="1119">
        <f t="shared" si="63"/>
        <v>0</v>
      </c>
      <c r="U338" s="1119">
        <f t="shared" si="63"/>
        <v>0</v>
      </c>
      <c r="V338" s="1119">
        <f t="shared" si="63"/>
        <v>0</v>
      </c>
      <c r="W338" s="1119">
        <f t="shared" si="63"/>
        <v>0</v>
      </c>
      <c r="X338" s="978"/>
      <c r="Y338" s="1120">
        <f t="shared" si="60"/>
        <v>0</v>
      </c>
      <c r="Z338" s="1354"/>
      <c r="AA338" s="1001">
        <v>0</v>
      </c>
      <c r="AB338" s="978"/>
      <c r="AC338" s="1036">
        <f t="shared" si="61"/>
        <v>0</v>
      </c>
      <c r="AD338" s="783">
        <f t="shared" si="62"/>
        <v>0</v>
      </c>
      <c r="AE338" s="1321"/>
      <c r="AF338" s="1322"/>
      <c r="AG338" s="740"/>
    </row>
    <row r="339" spans="1:33">
      <c r="A339" s="96">
        <v>300908</v>
      </c>
      <c r="B339" s="1286" t="s">
        <v>427</v>
      </c>
      <c r="C339" s="782">
        <f>'TAR_Tab 2_Volumina'!N342</f>
        <v>0</v>
      </c>
      <c r="D339" s="976"/>
      <c r="E339" s="1318">
        <v>0</v>
      </c>
      <c r="F339" s="1116">
        <f t="shared" si="56"/>
        <v>0</v>
      </c>
      <c r="G339" s="1116">
        <f t="shared" si="57"/>
        <v>0</v>
      </c>
      <c r="H339" s="976"/>
      <c r="I339" s="1117">
        <f t="shared" si="64"/>
        <v>0</v>
      </c>
      <c r="J339" s="1117">
        <f t="shared" si="64"/>
        <v>0</v>
      </c>
      <c r="K339" s="1320"/>
      <c r="L339" s="1000" t="str">
        <f t="shared" si="58"/>
        <v/>
      </c>
      <c r="M339" s="1118">
        <f t="shared" si="59"/>
        <v>0</v>
      </c>
      <c r="N339" s="976"/>
      <c r="O339" s="1119">
        <f t="shared" si="55"/>
        <v>0</v>
      </c>
      <c r="P339" s="1119">
        <f t="shared" si="63"/>
        <v>0</v>
      </c>
      <c r="Q339" s="1119">
        <f t="shared" si="63"/>
        <v>0</v>
      </c>
      <c r="R339" s="1119">
        <f t="shared" si="63"/>
        <v>0</v>
      </c>
      <c r="S339" s="1119">
        <f t="shared" si="63"/>
        <v>0</v>
      </c>
      <c r="T339" s="1119">
        <f t="shared" si="63"/>
        <v>0</v>
      </c>
      <c r="U339" s="1119">
        <f t="shared" si="63"/>
        <v>0</v>
      </c>
      <c r="V339" s="1119">
        <f t="shared" si="63"/>
        <v>0</v>
      </c>
      <c r="W339" s="1119">
        <f t="shared" si="63"/>
        <v>0</v>
      </c>
      <c r="X339" s="978"/>
      <c r="Y339" s="1120">
        <f t="shared" si="60"/>
        <v>0</v>
      </c>
      <c r="Z339" s="1354"/>
      <c r="AA339" s="1001">
        <v>0</v>
      </c>
      <c r="AB339" s="978"/>
      <c r="AC339" s="1036">
        <f t="shared" si="61"/>
        <v>0</v>
      </c>
      <c r="AD339" s="783">
        <f t="shared" si="62"/>
        <v>0</v>
      </c>
      <c r="AE339" s="1321"/>
      <c r="AF339" s="1322"/>
      <c r="AG339" s="740"/>
    </row>
    <row r="340" spans="1:33">
      <c r="A340" s="96">
        <v>300909</v>
      </c>
      <c r="B340" s="1286" t="s">
        <v>812</v>
      </c>
      <c r="C340" s="782">
        <f>'TAR_Tab 2_Volumina'!N343</f>
        <v>0</v>
      </c>
      <c r="D340" s="976"/>
      <c r="E340" s="1318">
        <v>0</v>
      </c>
      <c r="F340" s="1116">
        <f t="shared" si="56"/>
        <v>0</v>
      </c>
      <c r="G340" s="1116">
        <f t="shared" si="57"/>
        <v>0</v>
      </c>
      <c r="H340" s="976"/>
      <c r="I340" s="1117">
        <f t="shared" si="64"/>
        <v>0</v>
      </c>
      <c r="J340" s="1117">
        <f t="shared" si="64"/>
        <v>0</v>
      </c>
      <c r="K340" s="1320"/>
      <c r="L340" s="1000" t="str">
        <f t="shared" si="58"/>
        <v/>
      </c>
      <c r="M340" s="1118">
        <f t="shared" si="59"/>
        <v>0</v>
      </c>
      <c r="N340" s="976"/>
      <c r="O340" s="1119">
        <f t="shared" si="55"/>
        <v>0</v>
      </c>
      <c r="P340" s="1119">
        <f t="shared" si="63"/>
        <v>0</v>
      </c>
      <c r="Q340" s="1119">
        <f t="shared" si="63"/>
        <v>0</v>
      </c>
      <c r="R340" s="1119">
        <f t="shared" si="63"/>
        <v>0</v>
      </c>
      <c r="S340" s="1119">
        <f t="shared" si="63"/>
        <v>0</v>
      </c>
      <c r="T340" s="1119">
        <f t="shared" si="63"/>
        <v>0</v>
      </c>
      <c r="U340" s="1119">
        <f t="shared" si="63"/>
        <v>0</v>
      </c>
      <c r="V340" s="1119">
        <f t="shared" si="63"/>
        <v>0</v>
      </c>
      <c r="W340" s="1119">
        <f t="shared" si="63"/>
        <v>0</v>
      </c>
      <c r="X340" s="978"/>
      <c r="Y340" s="1120">
        <f t="shared" si="60"/>
        <v>0</v>
      </c>
      <c r="Z340" s="1354"/>
      <c r="AA340" s="1001">
        <v>0</v>
      </c>
      <c r="AB340" s="978"/>
      <c r="AC340" s="1036">
        <f t="shared" si="61"/>
        <v>0</v>
      </c>
      <c r="AD340" s="783">
        <f t="shared" si="62"/>
        <v>0</v>
      </c>
      <c r="AE340" s="1321"/>
      <c r="AF340" s="1322"/>
      <c r="AG340" s="740"/>
    </row>
    <row r="341" spans="1:33">
      <c r="A341" s="96">
        <v>300910</v>
      </c>
      <c r="B341" s="1286" t="s">
        <v>305</v>
      </c>
      <c r="C341" s="782">
        <f>'TAR_Tab 2_Volumina'!N344</f>
        <v>0</v>
      </c>
      <c r="D341" s="976"/>
      <c r="E341" s="1318">
        <v>0</v>
      </c>
      <c r="F341" s="1116">
        <f t="shared" si="56"/>
        <v>0</v>
      </c>
      <c r="G341" s="1116">
        <f t="shared" si="57"/>
        <v>0</v>
      </c>
      <c r="H341" s="976"/>
      <c r="I341" s="1117">
        <f t="shared" si="64"/>
        <v>0</v>
      </c>
      <c r="J341" s="1117">
        <f t="shared" si="64"/>
        <v>0</v>
      </c>
      <c r="K341" s="1320"/>
      <c r="L341" s="1000" t="str">
        <f t="shared" si="58"/>
        <v/>
      </c>
      <c r="M341" s="1118">
        <f t="shared" si="59"/>
        <v>0</v>
      </c>
      <c r="N341" s="976"/>
      <c r="O341" s="1119">
        <f t="shared" si="55"/>
        <v>0</v>
      </c>
      <c r="P341" s="1119">
        <f t="shared" si="63"/>
        <v>0</v>
      </c>
      <c r="Q341" s="1119">
        <f t="shared" si="63"/>
        <v>0</v>
      </c>
      <c r="R341" s="1119">
        <f t="shared" si="63"/>
        <v>0</v>
      </c>
      <c r="S341" s="1119">
        <f t="shared" si="63"/>
        <v>0</v>
      </c>
      <c r="T341" s="1119">
        <f t="shared" si="63"/>
        <v>0</v>
      </c>
      <c r="U341" s="1119">
        <f t="shared" si="63"/>
        <v>0</v>
      </c>
      <c r="V341" s="1119">
        <f t="shared" si="63"/>
        <v>0</v>
      </c>
      <c r="W341" s="1119">
        <f t="shared" si="63"/>
        <v>0</v>
      </c>
      <c r="X341" s="978"/>
      <c r="Y341" s="1120">
        <f t="shared" si="60"/>
        <v>0</v>
      </c>
      <c r="Z341" s="1354"/>
      <c r="AA341" s="1001">
        <v>0</v>
      </c>
      <c r="AB341" s="978"/>
      <c r="AC341" s="1036">
        <f t="shared" si="61"/>
        <v>0</v>
      </c>
      <c r="AD341" s="783">
        <f t="shared" si="62"/>
        <v>0</v>
      </c>
      <c r="AE341" s="1321"/>
      <c r="AF341" s="1322"/>
      <c r="AG341" s="740"/>
    </row>
    <row r="342" spans="1:33">
      <c r="A342" s="96">
        <v>300911</v>
      </c>
      <c r="B342" s="1286" t="s">
        <v>813</v>
      </c>
      <c r="C342" s="782">
        <f>'TAR_Tab 2_Volumina'!N345</f>
        <v>0</v>
      </c>
      <c r="D342" s="976"/>
      <c r="E342" s="1318">
        <v>0</v>
      </c>
      <c r="F342" s="1116">
        <f t="shared" si="56"/>
        <v>0</v>
      </c>
      <c r="G342" s="1116">
        <f t="shared" si="57"/>
        <v>0</v>
      </c>
      <c r="H342" s="976"/>
      <c r="I342" s="1117">
        <f t="shared" si="64"/>
        <v>0</v>
      </c>
      <c r="J342" s="1117">
        <f t="shared" si="64"/>
        <v>0</v>
      </c>
      <c r="K342" s="1320"/>
      <c r="L342" s="1000" t="str">
        <f t="shared" si="58"/>
        <v/>
      </c>
      <c r="M342" s="1118">
        <f t="shared" si="59"/>
        <v>0</v>
      </c>
      <c r="N342" s="976"/>
      <c r="O342" s="1119">
        <f t="shared" si="55"/>
        <v>0</v>
      </c>
      <c r="P342" s="1119">
        <f t="shared" si="63"/>
        <v>0</v>
      </c>
      <c r="Q342" s="1119">
        <f t="shared" si="63"/>
        <v>0</v>
      </c>
      <c r="R342" s="1119">
        <f t="shared" si="63"/>
        <v>0</v>
      </c>
      <c r="S342" s="1119">
        <f t="shared" si="63"/>
        <v>0</v>
      </c>
      <c r="T342" s="1119">
        <f t="shared" si="63"/>
        <v>0</v>
      </c>
      <c r="U342" s="1119">
        <f t="shared" si="63"/>
        <v>0</v>
      </c>
      <c r="V342" s="1119">
        <f t="shared" si="63"/>
        <v>0</v>
      </c>
      <c r="W342" s="1119">
        <f t="shared" si="63"/>
        <v>0</v>
      </c>
      <c r="X342" s="978"/>
      <c r="Y342" s="1120">
        <f t="shared" si="60"/>
        <v>0</v>
      </c>
      <c r="Z342" s="1354"/>
      <c r="AA342" s="1001">
        <v>0</v>
      </c>
      <c r="AB342" s="978"/>
      <c r="AC342" s="1036">
        <f t="shared" si="61"/>
        <v>0</v>
      </c>
      <c r="AD342" s="783">
        <f t="shared" si="62"/>
        <v>0</v>
      </c>
      <c r="AE342" s="1321"/>
      <c r="AF342" s="1322"/>
      <c r="AG342" s="740"/>
    </row>
    <row r="343" spans="1:33">
      <c r="A343" s="96">
        <v>300912</v>
      </c>
      <c r="B343" s="1286" t="s">
        <v>814</v>
      </c>
      <c r="C343" s="782">
        <f>'TAR_Tab 2_Volumina'!N346</f>
        <v>0</v>
      </c>
      <c r="D343" s="976"/>
      <c r="E343" s="1318">
        <v>0</v>
      </c>
      <c r="F343" s="1116">
        <f t="shared" si="56"/>
        <v>0</v>
      </c>
      <c r="G343" s="1116">
        <f t="shared" si="57"/>
        <v>0</v>
      </c>
      <c r="H343" s="976"/>
      <c r="I343" s="1117">
        <f t="shared" si="64"/>
        <v>0</v>
      </c>
      <c r="J343" s="1117">
        <f t="shared" si="64"/>
        <v>0</v>
      </c>
      <c r="K343" s="1320"/>
      <c r="L343" s="1000" t="str">
        <f t="shared" si="58"/>
        <v/>
      </c>
      <c r="M343" s="1118">
        <f t="shared" si="59"/>
        <v>0</v>
      </c>
      <c r="N343" s="976"/>
      <c r="O343" s="1119">
        <f t="shared" si="55"/>
        <v>0</v>
      </c>
      <c r="P343" s="1119">
        <f t="shared" si="63"/>
        <v>0</v>
      </c>
      <c r="Q343" s="1119">
        <f t="shared" si="63"/>
        <v>0</v>
      </c>
      <c r="R343" s="1119">
        <f t="shared" si="63"/>
        <v>0</v>
      </c>
      <c r="S343" s="1119">
        <f t="shared" si="63"/>
        <v>0</v>
      </c>
      <c r="T343" s="1119">
        <f t="shared" si="63"/>
        <v>0</v>
      </c>
      <c r="U343" s="1119">
        <f t="shared" si="63"/>
        <v>0</v>
      </c>
      <c r="V343" s="1119">
        <f t="shared" si="63"/>
        <v>0</v>
      </c>
      <c r="W343" s="1119">
        <f t="shared" si="63"/>
        <v>0</v>
      </c>
      <c r="X343" s="978"/>
      <c r="Y343" s="1120">
        <f t="shared" si="60"/>
        <v>0</v>
      </c>
      <c r="Z343" s="1354"/>
      <c r="AA343" s="1001">
        <v>0</v>
      </c>
      <c r="AB343" s="978"/>
      <c r="AC343" s="1036">
        <f t="shared" si="61"/>
        <v>0</v>
      </c>
      <c r="AD343" s="783">
        <f t="shared" si="62"/>
        <v>0</v>
      </c>
      <c r="AE343" s="1321"/>
      <c r="AF343" s="1322"/>
      <c r="AG343" s="740"/>
    </row>
    <row r="344" spans="1:33">
      <c r="A344" s="96">
        <v>300916</v>
      </c>
      <c r="B344" s="1286" t="s">
        <v>306</v>
      </c>
      <c r="C344" s="782">
        <f>'TAR_Tab 2_Volumina'!N347</f>
        <v>1</v>
      </c>
      <c r="D344" s="976"/>
      <c r="E344" s="1318">
        <v>35722.02781136518</v>
      </c>
      <c r="F344" s="1116">
        <f t="shared" si="56"/>
        <v>33993.081665295103</v>
      </c>
      <c r="G344" s="1116">
        <f t="shared" si="57"/>
        <v>34787.534164485827</v>
      </c>
      <c r="H344" s="976"/>
      <c r="I344" s="1117">
        <f t="shared" si="64"/>
        <v>33048.157456261535</v>
      </c>
      <c r="J344" s="1117">
        <f t="shared" si="64"/>
        <v>36526.910872710119</v>
      </c>
      <c r="K344" s="1320"/>
      <c r="L344" s="1000" t="str">
        <f t="shared" si="58"/>
        <v/>
      </c>
      <c r="M344" s="1118">
        <f t="shared" si="59"/>
        <v>34787.534164485827</v>
      </c>
      <c r="N344" s="976"/>
      <c r="O344" s="1119">
        <f t="shared" si="55"/>
        <v>-1613.3713496037913</v>
      </c>
      <c r="P344" s="1119">
        <f t="shared" si="63"/>
        <v>1669.4094408962371</v>
      </c>
      <c r="Q344" s="1119">
        <f t="shared" si="63"/>
        <v>0</v>
      </c>
      <c r="R344" s="1119">
        <f t="shared" si="63"/>
        <v>62.89083051203594</v>
      </c>
      <c r="S344" s="1119">
        <f t="shared" si="63"/>
        <v>1456.5396964682793</v>
      </c>
      <c r="T344" s="1119">
        <f t="shared" si="63"/>
        <v>-190.61821729297034</v>
      </c>
      <c r="U344" s="1119">
        <f t="shared" si="63"/>
        <v>-7.1712725559572243</v>
      </c>
      <c r="V344" s="1119">
        <f t="shared" si="63"/>
        <v>-592.93851547629686</v>
      </c>
      <c r="W344" s="1119">
        <f t="shared" si="63"/>
        <v>46.784885820729031</v>
      </c>
      <c r="X344" s="978"/>
      <c r="Y344" s="1120">
        <f t="shared" si="60"/>
        <v>35619.059663254091</v>
      </c>
      <c r="Z344" s="1354"/>
      <c r="AA344" s="1001">
        <v>4.8409392185254814E-2</v>
      </c>
      <c r="AB344" s="978"/>
      <c r="AC344" s="1036">
        <f t="shared" si="61"/>
        <v>4.8409392185254814E-2</v>
      </c>
      <c r="AD344" s="783">
        <f t="shared" si="62"/>
        <v>4.8000000000000001E-2</v>
      </c>
      <c r="AE344" s="1321"/>
      <c r="AF344" s="1322"/>
      <c r="AG344" s="740"/>
    </row>
    <row r="345" spans="1:33">
      <c r="A345" s="96">
        <v>300923</v>
      </c>
      <c r="B345" s="1286" t="s">
        <v>307</v>
      </c>
      <c r="C345" s="782">
        <f>'TAR_Tab 2_Volumina'!N348</f>
        <v>1</v>
      </c>
      <c r="D345" s="976"/>
      <c r="E345" s="1318">
        <v>53583.041717047774</v>
      </c>
      <c r="F345" s="1116">
        <f t="shared" si="56"/>
        <v>50989.622497942662</v>
      </c>
      <c r="G345" s="1116">
        <f t="shared" si="57"/>
        <v>52181.301246728748</v>
      </c>
      <c r="H345" s="976"/>
      <c r="I345" s="1117">
        <f t="shared" si="64"/>
        <v>49572.236184392306</v>
      </c>
      <c r="J345" s="1117">
        <f t="shared" si="64"/>
        <v>54790.36630906519</v>
      </c>
      <c r="K345" s="1320"/>
      <c r="L345" s="1000" t="str">
        <f t="shared" si="58"/>
        <v/>
      </c>
      <c r="M345" s="1118">
        <f t="shared" si="59"/>
        <v>52181.301246728748</v>
      </c>
      <c r="N345" s="976"/>
      <c r="O345" s="1119">
        <f t="shared" si="55"/>
        <v>-2420.0570244056871</v>
      </c>
      <c r="P345" s="1119">
        <f t="shared" si="63"/>
        <v>2504.114161344356</v>
      </c>
      <c r="Q345" s="1119">
        <f t="shared" si="63"/>
        <v>0</v>
      </c>
      <c r="R345" s="1119">
        <f t="shared" si="63"/>
        <v>94.336245768053928</v>
      </c>
      <c r="S345" s="1119">
        <f t="shared" si="63"/>
        <v>2184.8095447024193</v>
      </c>
      <c r="T345" s="1119">
        <f t="shared" si="63"/>
        <v>-285.92732593945556</v>
      </c>
      <c r="U345" s="1119">
        <f t="shared" si="63"/>
        <v>-10.756908833935839</v>
      </c>
      <c r="V345" s="1119">
        <f t="shared" si="63"/>
        <v>-889.40777321444534</v>
      </c>
      <c r="W345" s="1119">
        <f t="shared" si="63"/>
        <v>70.177328731093553</v>
      </c>
      <c r="X345" s="978"/>
      <c r="Y345" s="1120">
        <f t="shared" si="60"/>
        <v>53428.589494881147</v>
      </c>
      <c r="Z345" s="1354"/>
      <c r="AA345" s="1001">
        <v>0.26247407680053925</v>
      </c>
      <c r="AB345" s="978"/>
      <c r="AC345" s="1036">
        <f t="shared" si="61"/>
        <v>0.26247407680053925</v>
      </c>
      <c r="AD345" s="783">
        <f t="shared" si="62"/>
        <v>0.26200000000000001</v>
      </c>
      <c r="AE345" s="1321"/>
      <c r="AF345" s="1322"/>
      <c r="AG345" s="740"/>
    </row>
    <row r="346" spans="1:33">
      <c r="A346" s="96">
        <v>300927</v>
      </c>
      <c r="B346" s="1286" t="s">
        <v>202</v>
      </c>
      <c r="C346" s="782">
        <f>'TAR_Tab 2_Volumina'!N349</f>
        <v>1</v>
      </c>
      <c r="D346" s="976"/>
      <c r="E346" s="1318">
        <v>17861.01390568259</v>
      </c>
      <c r="F346" s="1116">
        <f t="shared" si="56"/>
        <v>16996.540832647552</v>
      </c>
      <c r="G346" s="1116">
        <f t="shared" si="57"/>
        <v>17393.767082242914</v>
      </c>
      <c r="H346" s="976"/>
      <c r="I346" s="1117">
        <f t="shared" si="64"/>
        <v>16524.078728130768</v>
      </c>
      <c r="J346" s="1117">
        <f t="shared" si="64"/>
        <v>18263.45543635506</v>
      </c>
      <c r="K346" s="1320"/>
      <c r="L346" s="1000" t="str">
        <f t="shared" si="58"/>
        <v/>
      </c>
      <c r="M346" s="1118">
        <f t="shared" si="59"/>
        <v>17393.767082242914</v>
      </c>
      <c r="N346" s="976"/>
      <c r="O346" s="1119">
        <f t="shared" si="55"/>
        <v>-806.68567480189563</v>
      </c>
      <c r="P346" s="1119">
        <f t="shared" si="63"/>
        <v>834.70472044811856</v>
      </c>
      <c r="Q346" s="1119">
        <f t="shared" si="63"/>
        <v>0</v>
      </c>
      <c r="R346" s="1119">
        <f t="shared" si="63"/>
        <v>31.44541525601797</v>
      </c>
      <c r="S346" s="1119">
        <f t="shared" si="63"/>
        <v>728.26984823413966</v>
      </c>
      <c r="T346" s="1119">
        <f t="shared" si="63"/>
        <v>-95.309108646485171</v>
      </c>
      <c r="U346" s="1119">
        <f t="shared" si="63"/>
        <v>-3.5856362779786122</v>
      </c>
      <c r="V346" s="1119">
        <f t="shared" si="63"/>
        <v>-296.46925773814843</v>
      </c>
      <c r="W346" s="1119">
        <f t="shared" si="63"/>
        <v>23.392442910364515</v>
      </c>
      <c r="X346" s="978"/>
      <c r="Y346" s="1120">
        <f t="shared" si="60"/>
        <v>17809.529831627045</v>
      </c>
      <c r="Z346" s="1354"/>
      <c r="AA346" s="1001">
        <v>6.7522584833809893E-2</v>
      </c>
      <c r="AB346" s="978"/>
      <c r="AC346" s="1036">
        <f t="shared" si="61"/>
        <v>6.7522584833809893E-2</v>
      </c>
      <c r="AD346" s="783">
        <f t="shared" si="62"/>
        <v>6.8000000000000005E-2</v>
      </c>
      <c r="AE346" s="1321"/>
      <c r="AF346" s="1322"/>
      <c r="AG346" s="740"/>
    </row>
    <row r="347" spans="1:33">
      <c r="A347" s="96">
        <v>300940</v>
      </c>
      <c r="B347" s="1286" t="s">
        <v>203</v>
      </c>
      <c r="C347" s="782">
        <f>'TAR_Tab 2_Volumina'!N350</f>
        <v>0</v>
      </c>
      <c r="D347" s="976"/>
      <c r="E347" s="1318">
        <v>0</v>
      </c>
      <c r="F347" s="1116">
        <f t="shared" si="56"/>
        <v>0</v>
      </c>
      <c r="G347" s="1116">
        <f t="shared" si="57"/>
        <v>0</v>
      </c>
      <c r="H347" s="976"/>
      <c r="I347" s="1117">
        <f t="shared" si="64"/>
        <v>0</v>
      </c>
      <c r="J347" s="1117">
        <f t="shared" si="64"/>
        <v>0</v>
      </c>
      <c r="K347" s="1320"/>
      <c r="L347" s="1000" t="str">
        <f t="shared" si="58"/>
        <v/>
      </c>
      <c r="M347" s="1118">
        <f t="shared" si="59"/>
        <v>0</v>
      </c>
      <c r="N347" s="976"/>
      <c r="O347" s="1119">
        <f t="shared" si="55"/>
        <v>0</v>
      </c>
      <c r="P347" s="1119">
        <f t="shared" si="63"/>
        <v>0</v>
      </c>
      <c r="Q347" s="1119">
        <f t="shared" si="63"/>
        <v>0</v>
      </c>
      <c r="R347" s="1119">
        <f t="shared" si="63"/>
        <v>0</v>
      </c>
      <c r="S347" s="1119">
        <f t="shared" si="63"/>
        <v>0</v>
      </c>
      <c r="T347" s="1119">
        <f t="shared" si="63"/>
        <v>0</v>
      </c>
      <c r="U347" s="1119">
        <f t="shared" si="63"/>
        <v>0</v>
      </c>
      <c r="V347" s="1119">
        <f t="shared" si="63"/>
        <v>0</v>
      </c>
      <c r="W347" s="1119">
        <f t="shared" si="63"/>
        <v>0</v>
      </c>
      <c r="X347" s="978"/>
      <c r="Y347" s="1120">
        <f t="shared" si="60"/>
        <v>0</v>
      </c>
      <c r="Z347" s="1354"/>
      <c r="AA347" s="1001">
        <v>0</v>
      </c>
      <c r="AB347" s="978"/>
      <c r="AC347" s="1036">
        <f t="shared" si="61"/>
        <v>0</v>
      </c>
      <c r="AD347" s="783">
        <f t="shared" si="62"/>
        <v>0</v>
      </c>
      <c r="AE347" s="1321"/>
      <c r="AF347" s="1322"/>
      <c r="AG347" s="740"/>
    </row>
    <row r="348" spans="1:33">
      <c r="A348" s="96">
        <v>300942</v>
      </c>
      <c r="B348" s="1286" t="s">
        <v>204</v>
      </c>
      <c r="C348" s="782">
        <f>'TAR_Tab 2_Volumina'!N351</f>
        <v>1</v>
      </c>
      <c r="D348" s="976"/>
      <c r="E348" s="1318">
        <v>17861.01390568259</v>
      </c>
      <c r="F348" s="1116">
        <f t="shared" si="56"/>
        <v>16996.540832647552</v>
      </c>
      <c r="G348" s="1116">
        <f t="shared" si="57"/>
        <v>17393.767082242914</v>
      </c>
      <c r="H348" s="976"/>
      <c r="I348" s="1117">
        <f t="shared" si="64"/>
        <v>16524.078728130768</v>
      </c>
      <c r="J348" s="1117">
        <f t="shared" si="64"/>
        <v>18263.45543635506</v>
      </c>
      <c r="K348" s="1320"/>
      <c r="L348" s="1000" t="str">
        <f t="shared" si="58"/>
        <v/>
      </c>
      <c r="M348" s="1118">
        <f t="shared" si="59"/>
        <v>17393.767082242914</v>
      </c>
      <c r="N348" s="976"/>
      <c r="O348" s="1119">
        <f t="shared" si="55"/>
        <v>-806.68567480189563</v>
      </c>
      <c r="P348" s="1119">
        <f t="shared" si="63"/>
        <v>834.70472044811856</v>
      </c>
      <c r="Q348" s="1119">
        <f t="shared" si="63"/>
        <v>0</v>
      </c>
      <c r="R348" s="1119">
        <f t="shared" si="63"/>
        <v>31.44541525601797</v>
      </c>
      <c r="S348" s="1119">
        <f t="shared" si="63"/>
        <v>728.26984823413966</v>
      </c>
      <c r="T348" s="1119">
        <f t="shared" si="63"/>
        <v>-95.309108646485171</v>
      </c>
      <c r="U348" s="1119">
        <f t="shared" si="63"/>
        <v>-3.5856362779786122</v>
      </c>
      <c r="V348" s="1119">
        <f t="shared" si="63"/>
        <v>-296.46925773814843</v>
      </c>
      <c r="W348" s="1119">
        <f t="shared" si="63"/>
        <v>23.392442910364515</v>
      </c>
      <c r="X348" s="978"/>
      <c r="Y348" s="1120">
        <f t="shared" si="60"/>
        <v>17809.529831627045</v>
      </c>
      <c r="Z348" s="1354"/>
      <c r="AA348" s="1001">
        <v>0.34819991097320768</v>
      </c>
      <c r="AB348" s="978"/>
      <c r="AC348" s="1036">
        <f t="shared" si="61"/>
        <v>0.34819991097320768</v>
      </c>
      <c r="AD348" s="783">
        <f t="shared" si="62"/>
        <v>0.34799999999999998</v>
      </c>
      <c r="AE348" s="1321"/>
      <c r="AF348" s="1322"/>
      <c r="AG348" s="740"/>
    </row>
    <row r="349" spans="1:33">
      <c r="A349" s="96">
        <v>300952</v>
      </c>
      <c r="B349" s="1286" t="s">
        <v>205</v>
      </c>
      <c r="C349" s="782">
        <f>'TAR_Tab 2_Volumina'!N352</f>
        <v>1</v>
      </c>
      <c r="D349" s="976"/>
      <c r="E349" s="1318">
        <v>17861.01390568259</v>
      </c>
      <c r="F349" s="1116">
        <f t="shared" si="56"/>
        <v>16996.540832647552</v>
      </c>
      <c r="G349" s="1116">
        <f t="shared" si="57"/>
        <v>17393.767082242914</v>
      </c>
      <c r="H349" s="976"/>
      <c r="I349" s="1117">
        <f t="shared" si="64"/>
        <v>16524.078728130768</v>
      </c>
      <c r="J349" s="1117">
        <f t="shared" si="64"/>
        <v>18263.45543635506</v>
      </c>
      <c r="K349" s="1320"/>
      <c r="L349" s="1000" t="str">
        <f t="shared" si="58"/>
        <v/>
      </c>
      <c r="M349" s="1118">
        <f t="shared" si="59"/>
        <v>17393.767082242914</v>
      </c>
      <c r="N349" s="976"/>
      <c r="O349" s="1119">
        <f t="shared" si="55"/>
        <v>-806.68567480189563</v>
      </c>
      <c r="P349" s="1119">
        <f t="shared" si="63"/>
        <v>834.70472044811856</v>
      </c>
      <c r="Q349" s="1119">
        <f t="shared" si="63"/>
        <v>0</v>
      </c>
      <c r="R349" s="1119">
        <f t="shared" si="63"/>
        <v>31.44541525601797</v>
      </c>
      <c r="S349" s="1119">
        <f t="shared" si="63"/>
        <v>728.26984823413966</v>
      </c>
      <c r="T349" s="1119">
        <f t="shared" si="63"/>
        <v>-95.309108646485171</v>
      </c>
      <c r="U349" s="1119">
        <f t="shared" si="63"/>
        <v>-3.5856362779786122</v>
      </c>
      <c r="V349" s="1119">
        <f t="shared" si="63"/>
        <v>-296.46925773814843</v>
      </c>
      <c r="W349" s="1119">
        <f t="shared" si="63"/>
        <v>23.392442910364515</v>
      </c>
      <c r="X349" s="978"/>
      <c r="Y349" s="1120">
        <f t="shared" si="60"/>
        <v>17809.529831627045</v>
      </c>
      <c r="Z349" s="1354"/>
      <c r="AA349" s="1001">
        <v>0.2781990003262183</v>
      </c>
      <c r="AB349" s="978"/>
      <c r="AC349" s="1036">
        <f t="shared" si="61"/>
        <v>0.2781990003262183</v>
      </c>
      <c r="AD349" s="783">
        <f t="shared" si="62"/>
        <v>0.27800000000000002</v>
      </c>
      <c r="AE349" s="1321"/>
      <c r="AF349" s="1322"/>
      <c r="AG349" s="740"/>
    </row>
    <row r="350" spans="1:33">
      <c r="A350" s="96">
        <v>300954</v>
      </c>
      <c r="B350" s="1286" t="s">
        <v>308</v>
      </c>
      <c r="C350" s="782">
        <f>'TAR_Tab 2_Volumina'!N353</f>
        <v>1</v>
      </c>
      <c r="D350" s="976"/>
      <c r="E350" s="1318">
        <v>17861.01390568259</v>
      </c>
      <c r="F350" s="1116">
        <f t="shared" si="56"/>
        <v>16996.540832647552</v>
      </c>
      <c r="G350" s="1116">
        <f t="shared" si="57"/>
        <v>17393.767082242914</v>
      </c>
      <c r="H350" s="976"/>
      <c r="I350" s="1117">
        <f t="shared" si="64"/>
        <v>16524.078728130768</v>
      </c>
      <c r="J350" s="1117">
        <f t="shared" si="64"/>
        <v>18263.45543635506</v>
      </c>
      <c r="K350" s="1320"/>
      <c r="L350" s="1000" t="str">
        <f t="shared" si="58"/>
        <v/>
      </c>
      <c r="M350" s="1118">
        <f t="shared" si="59"/>
        <v>17393.767082242914</v>
      </c>
      <c r="N350" s="976"/>
      <c r="O350" s="1119">
        <f t="shared" si="55"/>
        <v>-806.68567480189563</v>
      </c>
      <c r="P350" s="1119">
        <f t="shared" si="63"/>
        <v>834.70472044811856</v>
      </c>
      <c r="Q350" s="1119">
        <f t="shared" si="63"/>
        <v>0</v>
      </c>
      <c r="R350" s="1119">
        <f t="shared" si="63"/>
        <v>31.44541525601797</v>
      </c>
      <c r="S350" s="1119">
        <f t="shared" si="63"/>
        <v>728.26984823413966</v>
      </c>
      <c r="T350" s="1119">
        <f t="shared" si="63"/>
        <v>-95.309108646485171</v>
      </c>
      <c r="U350" s="1119">
        <f t="shared" si="63"/>
        <v>-3.5856362779786122</v>
      </c>
      <c r="V350" s="1119">
        <f t="shared" si="63"/>
        <v>-296.46925773814843</v>
      </c>
      <c r="W350" s="1119">
        <f t="shared" si="63"/>
        <v>23.392442910364515</v>
      </c>
      <c r="X350" s="978"/>
      <c r="Y350" s="1120">
        <f t="shared" si="60"/>
        <v>17809.529831627045</v>
      </c>
      <c r="Z350" s="1354"/>
      <c r="AA350" s="1001">
        <v>5.9636051280063815E-2</v>
      </c>
      <c r="AB350" s="978"/>
      <c r="AC350" s="1036">
        <f t="shared" si="61"/>
        <v>5.9636051280063815E-2</v>
      </c>
      <c r="AD350" s="783">
        <f t="shared" si="62"/>
        <v>0.06</v>
      </c>
      <c r="AE350" s="1321"/>
      <c r="AF350" s="1322"/>
      <c r="AG350" s="740"/>
    </row>
    <row r="351" spans="1:33">
      <c r="A351" s="96">
        <v>300958</v>
      </c>
      <c r="B351" s="1286" t="s">
        <v>206</v>
      </c>
      <c r="C351" s="782">
        <f>'TAR_Tab 2_Volumina'!N354</f>
        <v>1</v>
      </c>
      <c r="D351" s="976"/>
      <c r="E351" s="1318">
        <v>17861.01390568259</v>
      </c>
      <c r="F351" s="1116">
        <f t="shared" si="56"/>
        <v>16996.540832647552</v>
      </c>
      <c r="G351" s="1116">
        <f t="shared" si="57"/>
        <v>17393.767082242914</v>
      </c>
      <c r="H351" s="976"/>
      <c r="I351" s="1117">
        <f t="shared" si="64"/>
        <v>16524.078728130768</v>
      </c>
      <c r="J351" s="1117">
        <f t="shared" si="64"/>
        <v>18263.45543635506</v>
      </c>
      <c r="K351" s="1320"/>
      <c r="L351" s="1000" t="str">
        <f t="shared" si="58"/>
        <v/>
      </c>
      <c r="M351" s="1118">
        <f t="shared" si="59"/>
        <v>17393.767082242914</v>
      </c>
      <c r="N351" s="976"/>
      <c r="O351" s="1119">
        <f t="shared" si="55"/>
        <v>-806.68567480189563</v>
      </c>
      <c r="P351" s="1119">
        <f t="shared" si="63"/>
        <v>834.70472044811856</v>
      </c>
      <c r="Q351" s="1119">
        <f t="shared" si="63"/>
        <v>0</v>
      </c>
      <c r="R351" s="1119">
        <f t="shared" si="63"/>
        <v>31.44541525601797</v>
      </c>
      <c r="S351" s="1119">
        <f t="shared" si="63"/>
        <v>728.26984823413966</v>
      </c>
      <c r="T351" s="1119">
        <f t="shared" si="63"/>
        <v>-95.309108646485171</v>
      </c>
      <c r="U351" s="1119">
        <f t="shared" si="63"/>
        <v>-3.5856362779786122</v>
      </c>
      <c r="V351" s="1119">
        <f t="shared" si="63"/>
        <v>-296.46925773814843</v>
      </c>
      <c r="W351" s="1119">
        <f t="shared" si="63"/>
        <v>23.392442910364515</v>
      </c>
      <c r="X351" s="978"/>
      <c r="Y351" s="1120">
        <f t="shared" si="60"/>
        <v>17809.529831627045</v>
      </c>
      <c r="Z351" s="1354"/>
      <c r="AA351" s="1001">
        <v>0.17512357571124385</v>
      </c>
      <c r="AB351" s="978"/>
      <c r="AC351" s="1036">
        <f t="shared" si="61"/>
        <v>0.17512357571124385</v>
      </c>
      <c r="AD351" s="783">
        <f t="shared" si="62"/>
        <v>0.17499999999999999</v>
      </c>
      <c r="AE351" s="1321"/>
      <c r="AF351" s="1322"/>
      <c r="AG351" s="740"/>
    </row>
    <row r="352" spans="1:33">
      <c r="A352" s="96">
        <v>300965</v>
      </c>
      <c r="B352" s="1286" t="s">
        <v>207</v>
      </c>
      <c r="C352" s="782">
        <f>'TAR_Tab 2_Volumina'!N355</f>
        <v>1</v>
      </c>
      <c r="D352" s="976"/>
      <c r="E352" s="1318">
        <v>17861.01390568259</v>
      </c>
      <c r="F352" s="1116">
        <f t="shared" si="56"/>
        <v>16996.540832647552</v>
      </c>
      <c r="G352" s="1116">
        <f t="shared" si="57"/>
        <v>17393.767082242914</v>
      </c>
      <c r="H352" s="976"/>
      <c r="I352" s="1117">
        <f t="shared" si="64"/>
        <v>16524.078728130768</v>
      </c>
      <c r="J352" s="1117">
        <f t="shared" si="64"/>
        <v>18263.45543635506</v>
      </c>
      <c r="K352" s="1320"/>
      <c r="L352" s="1000" t="str">
        <f t="shared" si="58"/>
        <v/>
      </c>
      <c r="M352" s="1118">
        <f t="shared" si="59"/>
        <v>17393.767082242914</v>
      </c>
      <c r="N352" s="976"/>
      <c r="O352" s="1119">
        <f t="shared" si="55"/>
        <v>-806.68567480189563</v>
      </c>
      <c r="P352" s="1119">
        <f t="shared" si="63"/>
        <v>834.70472044811856</v>
      </c>
      <c r="Q352" s="1119">
        <f t="shared" si="63"/>
        <v>0</v>
      </c>
      <c r="R352" s="1119">
        <f t="shared" si="63"/>
        <v>31.44541525601797</v>
      </c>
      <c r="S352" s="1119">
        <f t="shared" si="63"/>
        <v>728.26984823413966</v>
      </c>
      <c r="T352" s="1119">
        <f t="shared" si="63"/>
        <v>-95.309108646485171</v>
      </c>
      <c r="U352" s="1119">
        <f t="shared" si="63"/>
        <v>-3.5856362779786122</v>
      </c>
      <c r="V352" s="1119">
        <f t="shared" si="63"/>
        <v>-296.46925773814843</v>
      </c>
      <c r="W352" s="1119">
        <f t="shared" si="63"/>
        <v>23.392442910364515</v>
      </c>
      <c r="X352" s="978"/>
      <c r="Y352" s="1120">
        <f t="shared" si="60"/>
        <v>17809.529831627045</v>
      </c>
      <c r="Z352" s="1354"/>
      <c r="AA352" s="1001">
        <v>0.33167300771648978</v>
      </c>
      <c r="AB352" s="978"/>
      <c r="AC352" s="1036">
        <f t="shared" si="61"/>
        <v>0.33167300771648978</v>
      </c>
      <c r="AD352" s="783">
        <f t="shared" si="62"/>
        <v>0.33200000000000002</v>
      </c>
      <c r="AE352" s="1321"/>
      <c r="AF352" s="1322"/>
      <c r="AG352" s="740"/>
    </row>
    <row r="353" spans="1:33">
      <c r="A353" s="96">
        <v>300968</v>
      </c>
      <c r="B353" s="1286" t="s">
        <v>208</v>
      </c>
      <c r="C353" s="782">
        <f>'TAR_Tab 2_Volumina'!N356</f>
        <v>0</v>
      </c>
      <c r="D353" s="976"/>
      <c r="E353" s="1318">
        <v>0</v>
      </c>
      <c r="F353" s="1116">
        <f t="shared" si="56"/>
        <v>0</v>
      </c>
      <c r="G353" s="1116">
        <f t="shared" si="57"/>
        <v>0</v>
      </c>
      <c r="H353" s="976"/>
      <c r="I353" s="1117">
        <f t="shared" si="64"/>
        <v>0</v>
      </c>
      <c r="J353" s="1117">
        <f t="shared" si="64"/>
        <v>0</v>
      </c>
      <c r="K353" s="1320"/>
      <c r="L353" s="1000" t="str">
        <f t="shared" si="58"/>
        <v/>
      </c>
      <c r="M353" s="1118">
        <f t="shared" si="59"/>
        <v>0</v>
      </c>
      <c r="N353" s="976"/>
      <c r="O353" s="1119">
        <f t="shared" si="55"/>
        <v>0</v>
      </c>
      <c r="P353" s="1119">
        <f t="shared" si="63"/>
        <v>0</v>
      </c>
      <c r="Q353" s="1119">
        <f t="shared" si="63"/>
        <v>0</v>
      </c>
      <c r="R353" s="1119">
        <f t="shared" si="63"/>
        <v>0</v>
      </c>
      <c r="S353" s="1119">
        <f t="shared" si="63"/>
        <v>0</v>
      </c>
      <c r="T353" s="1119">
        <f t="shared" si="63"/>
        <v>0</v>
      </c>
      <c r="U353" s="1119">
        <f t="shared" si="63"/>
        <v>0</v>
      </c>
      <c r="V353" s="1119">
        <f t="shared" si="63"/>
        <v>0</v>
      </c>
      <c r="W353" s="1119">
        <f t="shared" si="63"/>
        <v>0</v>
      </c>
      <c r="X353" s="978"/>
      <c r="Y353" s="1120">
        <f t="shared" si="60"/>
        <v>0</v>
      </c>
      <c r="Z353" s="1354"/>
      <c r="AA353" s="1001">
        <v>0</v>
      </c>
      <c r="AB353" s="978"/>
      <c r="AC353" s="1036">
        <f t="shared" si="61"/>
        <v>0</v>
      </c>
      <c r="AD353" s="783">
        <f t="shared" si="62"/>
        <v>0</v>
      </c>
      <c r="AE353" s="1321"/>
      <c r="AF353" s="1322"/>
      <c r="AG353" s="740"/>
    </row>
    <row r="354" spans="1:33">
      <c r="A354" s="96">
        <v>300975</v>
      </c>
      <c r="B354" s="1286" t="s">
        <v>815</v>
      </c>
      <c r="C354" s="782">
        <f>'TAR_Tab 2_Volumina'!N357</f>
        <v>0</v>
      </c>
      <c r="D354" s="976"/>
      <c r="E354" s="1318">
        <v>0</v>
      </c>
      <c r="F354" s="1116">
        <f t="shared" si="56"/>
        <v>0</v>
      </c>
      <c r="G354" s="1116">
        <f t="shared" si="57"/>
        <v>0</v>
      </c>
      <c r="H354" s="976"/>
      <c r="I354" s="1117">
        <f t="shared" si="64"/>
        <v>0</v>
      </c>
      <c r="J354" s="1117">
        <f t="shared" si="64"/>
        <v>0</v>
      </c>
      <c r="K354" s="1320"/>
      <c r="L354" s="1000" t="str">
        <f t="shared" si="58"/>
        <v/>
      </c>
      <c r="M354" s="1118">
        <f t="shared" si="59"/>
        <v>0</v>
      </c>
      <c r="N354" s="976"/>
      <c r="O354" s="1119">
        <f t="shared" si="55"/>
        <v>0</v>
      </c>
      <c r="P354" s="1119">
        <f t="shared" si="63"/>
        <v>0</v>
      </c>
      <c r="Q354" s="1119">
        <f t="shared" si="63"/>
        <v>0</v>
      </c>
      <c r="R354" s="1119">
        <f t="shared" si="63"/>
        <v>0</v>
      </c>
      <c r="S354" s="1119">
        <f t="shared" si="63"/>
        <v>0</v>
      </c>
      <c r="T354" s="1119">
        <f t="shared" si="63"/>
        <v>0</v>
      </c>
      <c r="U354" s="1119">
        <f t="shared" si="63"/>
        <v>0</v>
      </c>
      <c r="V354" s="1119">
        <f t="shared" si="63"/>
        <v>0</v>
      </c>
      <c r="W354" s="1119">
        <f t="shared" si="63"/>
        <v>0</v>
      </c>
      <c r="X354" s="978"/>
      <c r="Y354" s="1120">
        <f t="shared" si="60"/>
        <v>0</v>
      </c>
      <c r="Z354" s="1354"/>
      <c r="AA354" s="1001">
        <v>0</v>
      </c>
      <c r="AB354" s="978"/>
      <c r="AC354" s="1036">
        <f t="shared" si="61"/>
        <v>0</v>
      </c>
      <c r="AD354" s="783">
        <f t="shared" si="62"/>
        <v>0</v>
      </c>
      <c r="AE354" s="1321"/>
      <c r="AF354" s="1322"/>
      <c r="AG354" s="740"/>
    </row>
    <row r="355" spans="1:33">
      <c r="A355" s="96">
        <v>300982</v>
      </c>
      <c r="B355" s="1286" t="s">
        <v>209</v>
      </c>
      <c r="C355" s="782">
        <f>'TAR_Tab 2_Volumina'!N358</f>
        <v>0</v>
      </c>
      <c r="D355" s="976"/>
      <c r="E355" s="1318">
        <v>0</v>
      </c>
      <c r="F355" s="1116">
        <f t="shared" si="56"/>
        <v>0</v>
      </c>
      <c r="G355" s="1116">
        <f t="shared" si="57"/>
        <v>0</v>
      </c>
      <c r="H355" s="976"/>
      <c r="I355" s="1117">
        <f t="shared" si="64"/>
        <v>0</v>
      </c>
      <c r="J355" s="1117">
        <f t="shared" si="64"/>
        <v>0</v>
      </c>
      <c r="K355" s="1320"/>
      <c r="L355" s="1000" t="str">
        <f t="shared" si="58"/>
        <v/>
      </c>
      <c r="M355" s="1118">
        <f t="shared" si="59"/>
        <v>0</v>
      </c>
      <c r="N355" s="976"/>
      <c r="O355" s="1119">
        <f t="shared" si="55"/>
        <v>0</v>
      </c>
      <c r="P355" s="1119">
        <f t="shared" si="63"/>
        <v>0</v>
      </c>
      <c r="Q355" s="1119">
        <f t="shared" si="63"/>
        <v>0</v>
      </c>
      <c r="R355" s="1119">
        <f t="shared" si="63"/>
        <v>0</v>
      </c>
      <c r="S355" s="1119">
        <f t="shared" si="63"/>
        <v>0</v>
      </c>
      <c r="T355" s="1119">
        <f t="shared" si="63"/>
        <v>0</v>
      </c>
      <c r="U355" s="1119">
        <f t="shared" si="63"/>
        <v>0</v>
      </c>
      <c r="V355" s="1119">
        <f t="shared" si="63"/>
        <v>0</v>
      </c>
      <c r="W355" s="1119">
        <f t="shared" si="63"/>
        <v>0</v>
      </c>
      <c r="X355" s="978"/>
      <c r="Y355" s="1120">
        <f t="shared" si="60"/>
        <v>0</v>
      </c>
      <c r="Z355" s="1354"/>
      <c r="AA355" s="1001">
        <v>0</v>
      </c>
      <c r="AB355" s="978"/>
      <c r="AC355" s="1036">
        <f t="shared" si="61"/>
        <v>0</v>
      </c>
      <c r="AD355" s="783">
        <f t="shared" si="62"/>
        <v>0</v>
      </c>
      <c r="AE355" s="1321"/>
      <c r="AF355" s="1322"/>
      <c r="AG355" s="740"/>
    </row>
    <row r="356" spans="1:33">
      <c r="A356" s="96">
        <v>300983</v>
      </c>
      <c r="B356" s="1286" t="s">
        <v>309</v>
      </c>
      <c r="C356" s="782">
        <f>'TAR_Tab 2_Volumina'!N359</f>
        <v>0</v>
      </c>
      <c r="D356" s="976"/>
      <c r="E356" s="1318">
        <v>0</v>
      </c>
      <c r="F356" s="1116">
        <f t="shared" si="56"/>
        <v>0</v>
      </c>
      <c r="G356" s="1116">
        <f t="shared" si="57"/>
        <v>0</v>
      </c>
      <c r="H356" s="976"/>
      <c r="I356" s="1117">
        <f t="shared" si="64"/>
        <v>0</v>
      </c>
      <c r="J356" s="1117">
        <f t="shared" si="64"/>
        <v>0</v>
      </c>
      <c r="K356" s="1320"/>
      <c r="L356" s="1000" t="str">
        <f t="shared" si="58"/>
        <v/>
      </c>
      <c r="M356" s="1118">
        <f t="shared" si="59"/>
        <v>0</v>
      </c>
      <c r="N356" s="976"/>
      <c r="O356" s="1119">
        <f t="shared" si="55"/>
        <v>0</v>
      </c>
      <c r="P356" s="1119">
        <f t="shared" si="63"/>
        <v>0</v>
      </c>
      <c r="Q356" s="1119">
        <f t="shared" si="63"/>
        <v>0</v>
      </c>
      <c r="R356" s="1119">
        <f t="shared" si="63"/>
        <v>0</v>
      </c>
      <c r="S356" s="1119">
        <f t="shared" si="63"/>
        <v>0</v>
      </c>
      <c r="T356" s="1119">
        <f t="shared" si="63"/>
        <v>0</v>
      </c>
      <c r="U356" s="1119">
        <f t="shared" si="63"/>
        <v>0</v>
      </c>
      <c r="V356" s="1119">
        <f t="shared" si="63"/>
        <v>0</v>
      </c>
      <c r="W356" s="1119">
        <f t="shared" si="63"/>
        <v>0</v>
      </c>
      <c r="X356" s="978"/>
      <c r="Y356" s="1120">
        <f t="shared" si="60"/>
        <v>0</v>
      </c>
      <c r="Z356" s="1354"/>
      <c r="AA356" s="1001">
        <v>0</v>
      </c>
      <c r="AB356" s="978"/>
      <c r="AC356" s="1036">
        <f t="shared" si="61"/>
        <v>0</v>
      </c>
      <c r="AD356" s="783">
        <f t="shared" si="62"/>
        <v>0</v>
      </c>
      <c r="AE356" s="1321"/>
      <c r="AF356" s="1322"/>
      <c r="AG356" s="740"/>
    </row>
    <row r="357" spans="1:33">
      <c r="A357" s="96">
        <v>300989</v>
      </c>
      <c r="B357" s="1286" t="s">
        <v>105</v>
      </c>
      <c r="C357" s="782">
        <f>'TAR_Tab 2_Volumina'!N360</f>
        <v>0</v>
      </c>
      <c r="D357" s="976"/>
      <c r="E357" s="1318">
        <v>0</v>
      </c>
      <c r="F357" s="1116">
        <f t="shared" si="56"/>
        <v>0</v>
      </c>
      <c r="G357" s="1116">
        <f t="shared" si="57"/>
        <v>0</v>
      </c>
      <c r="H357" s="976"/>
      <c r="I357" s="1117">
        <f t="shared" si="64"/>
        <v>0</v>
      </c>
      <c r="J357" s="1117">
        <f t="shared" si="64"/>
        <v>0</v>
      </c>
      <c r="K357" s="1320"/>
      <c r="L357" s="1000" t="str">
        <f t="shared" si="58"/>
        <v/>
      </c>
      <c r="M357" s="1118">
        <f t="shared" si="59"/>
        <v>0</v>
      </c>
      <c r="N357" s="976"/>
      <c r="O357" s="1119">
        <f t="shared" si="55"/>
        <v>0</v>
      </c>
      <c r="P357" s="1119">
        <f t="shared" si="63"/>
        <v>0</v>
      </c>
      <c r="Q357" s="1119">
        <f t="shared" si="63"/>
        <v>0</v>
      </c>
      <c r="R357" s="1119">
        <f t="shared" si="63"/>
        <v>0</v>
      </c>
      <c r="S357" s="1119">
        <f t="shared" si="63"/>
        <v>0</v>
      </c>
      <c r="T357" s="1119">
        <f t="shared" si="63"/>
        <v>0</v>
      </c>
      <c r="U357" s="1119">
        <f t="shared" si="63"/>
        <v>0</v>
      </c>
      <c r="V357" s="1119">
        <f t="shared" si="63"/>
        <v>0</v>
      </c>
      <c r="W357" s="1119">
        <f t="shared" si="63"/>
        <v>0</v>
      </c>
      <c r="X357" s="978"/>
      <c r="Y357" s="1120">
        <f t="shared" si="60"/>
        <v>0</v>
      </c>
      <c r="Z357" s="1354"/>
      <c r="AA357" s="1001">
        <v>0</v>
      </c>
      <c r="AB357" s="978"/>
      <c r="AC357" s="1036">
        <f t="shared" si="61"/>
        <v>0</v>
      </c>
      <c r="AD357" s="783">
        <f t="shared" si="62"/>
        <v>0</v>
      </c>
      <c r="AE357" s="1321"/>
      <c r="AF357" s="1322"/>
      <c r="AG357" s="740"/>
    </row>
    <row r="358" spans="1:33">
      <c r="A358" s="96">
        <v>300991</v>
      </c>
      <c r="B358" s="1286" t="s">
        <v>210</v>
      </c>
      <c r="C358" s="782">
        <f>'TAR_Tab 2_Volumina'!N361</f>
        <v>0</v>
      </c>
      <c r="D358" s="976"/>
      <c r="E358" s="1318">
        <v>0</v>
      </c>
      <c r="F358" s="1116">
        <f t="shared" si="56"/>
        <v>0</v>
      </c>
      <c r="G358" s="1116">
        <f t="shared" si="57"/>
        <v>0</v>
      </c>
      <c r="H358" s="976"/>
      <c r="I358" s="1117">
        <f t="shared" si="64"/>
        <v>0</v>
      </c>
      <c r="J358" s="1117">
        <f t="shared" si="64"/>
        <v>0</v>
      </c>
      <c r="K358" s="1320"/>
      <c r="L358" s="1000" t="str">
        <f t="shared" si="58"/>
        <v/>
      </c>
      <c r="M358" s="1118">
        <f t="shared" si="59"/>
        <v>0</v>
      </c>
      <c r="N358" s="976"/>
      <c r="O358" s="1119">
        <f t="shared" si="55"/>
        <v>0</v>
      </c>
      <c r="P358" s="1119">
        <f t="shared" si="63"/>
        <v>0</v>
      </c>
      <c r="Q358" s="1119">
        <f t="shared" si="63"/>
        <v>0</v>
      </c>
      <c r="R358" s="1119">
        <f t="shared" si="63"/>
        <v>0</v>
      </c>
      <c r="S358" s="1119">
        <f t="shared" si="63"/>
        <v>0</v>
      </c>
      <c r="T358" s="1119">
        <f t="shared" si="63"/>
        <v>0</v>
      </c>
      <c r="U358" s="1119">
        <f t="shared" si="63"/>
        <v>0</v>
      </c>
      <c r="V358" s="1119">
        <f t="shared" si="63"/>
        <v>0</v>
      </c>
      <c r="W358" s="1119">
        <f t="shared" si="63"/>
        <v>0</v>
      </c>
      <c r="X358" s="978"/>
      <c r="Y358" s="1120">
        <f t="shared" si="60"/>
        <v>0</v>
      </c>
      <c r="Z358" s="1354"/>
      <c r="AA358" s="1001">
        <v>0</v>
      </c>
      <c r="AB358" s="978"/>
      <c r="AC358" s="1036">
        <f t="shared" si="61"/>
        <v>0</v>
      </c>
      <c r="AD358" s="783">
        <f t="shared" si="62"/>
        <v>0</v>
      </c>
      <c r="AE358" s="1321"/>
      <c r="AF358" s="1322"/>
      <c r="AG358" s="740"/>
    </row>
    <row r="359" spans="1:33">
      <c r="A359" s="96">
        <v>300997</v>
      </c>
      <c r="B359" s="1286" t="s">
        <v>106</v>
      </c>
      <c r="C359" s="782">
        <f>'TAR_Tab 2_Volumina'!N362</f>
        <v>0</v>
      </c>
      <c r="D359" s="976"/>
      <c r="E359" s="1318">
        <v>0</v>
      </c>
      <c r="F359" s="1116">
        <f t="shared" si="56"/>
        <v>0</v>
      </c>
      <c r="G359" s="1116">
        <f t="shared" si="57"/>
        <v>0</v>
      </c>
      <c r="H359" s="976"/>
      <c r="I359" s="1117">
        <f t="shared" si="64"/>
        <v>0</v>
      </c>
      <c r="J359" s="1117">
        <f t="shared" si="64"/>
        <v>0</v>
      </c>
      <c r="K359" s="1320"/>
      <c r="L359" s="1000" t="str">
        <f t="shared" si="58"/>
        <v/>
      </c>
      <c r="M359" s="1118">
        <f t="shared" si="59"/>
        <v>0</v>
      </c>
      <c r="N359" s="976"/>
      <c r="O359" s="1119">
        <f t="shared" si="55"/>
        <v>0</v>
      </c>
      <c r="P359" s="1119">
        <f t="shared" si="63"/>
        <v>0</v>
      </c>
      <c r="Q359" s="1119">
        <f t="shared" si="63"/>
        <v>0</v>
      </c>
      <c r="R359" s="1119">
        <f t="shared" si="63"/>
        <v>0</v>
      </c>
      <c r="S359" s="1119">
        <f t="shared" si="63"/>
        <v>0</v>
      </c>
      <c r="T359" s="1119">
        <f t="shared" si="63"/>
        <v>0</v>
      </c>
      <c r="U359" s="1119">
        <f t="shared" si="63"/>
        <v>0</v>
      </c>
      <c r="V359" s="1119">
        <f t="shared" si="63"/>
        <v>0</v>
      </c>
      <c r="W359" s="1119">
        <f t="shared" si="63"/>
        <v>0</v>
      </c>
      <c r="X359" s="978"/>
      <c r="Y359" s="1120">
        <f t="shared" si="60"/>
        <v>0</v>
      </c>
      <c r="Z359" s="1354"/>
      <c r="AA359" s="1001">
        <v>0</v>
      </c>
      <c r="AB359" s="978"/>
      <c r="AC359" s="1036">
        <f t="shared" si="61"/>
        <v>0</v>
      </c>
      <c r="AD359" s="783">
        <f t="shared" si="62"/>
        <v>0</v>
      </c>
      <c r="AE359" s="1321"/>
      <c r="AF359" s="1322"/>
      <c r="AG359" s="740"/>
    </row>
    <row r="360" spans="1:33">
      <c r="A360" s="96">
        <v>300998</v>
      </c>
      <c r="B360" s="1286" t="s">
        <v>816</v>
      </c>
      <c r="C360" s="782">
        <f>'TAR_Tab 2_Volumina'!N363</f>
        <v>0</v>
      </c>
      <c r="D360" s="976"/>
      <c r="E360" s="1318">
        <v>0</v>
      </c>
      <c r="F360" s="1116">
        <f t="shared" si="56"/>
        <v>0</v>
      </c>
      <c r="G360" s="1116">
        <f t="shared" si="57"/>
        <v>0</v>
      </c>
      <c r="H360" s="976"/>
      <c r="I360" s="1117">
        <f t="shared" si="64"/>
        <v>0</v>
      </c>
      <c r="J360" s="1117">
        <f t="shared" si="64"/>
        <v>0</v>
      </c>
      <c r="K360" s="1320"/>
      <c r="L360" s="1000" t="str">
        <f t="shared" si="58"/>
        <v/>
      </c>
      <c r="M360" s="1118">
        <f t="shared" si="59"/>
        <v>0</v>
      </c>
      <c r="N360" s="976"/>
      <c r="O360" s="1119">
        <f t="shared" si="55"/>
        <v>0</v>
      </c>
      <c r="P360" s="1119">
        <f t="shared" si="63"/>
        <v>0</v>
      </c>
      <c r="Q360" s="1119">
        <f t="shared" si="63"/>
        <v>0</v>
      </c>
      <c r="R360" s="1119">
        <f t="shared" si="63"/>
        <v>0</v>
      </c>
      <c r="S360" s="1119">
        <f t="shared" si="63"/>
        <v>0</v>
      </c>
      <c r="T360" s="1119">
        <f t="shared" si="63"/>
        <v>0</v>
      </c>
      <c r="U360" s="1119">
        <f t="shared" si="63"/>
        <v>0</v>
      </c>
      <c r="V360" s="1119">
        <f t="shared" si="63"/>
        <v>0</v>
      </c>
      <c r="W360" s="1119">
        <f t="shared" si="63"/>
        <v>0</v>
      </c>
      <c r="X360" s="978"/>
      <c r="Y360" s="1120">
        <f t="shared" si="60"/>
        <v>0</v>
      </c>
      <c r="Z360" s="1354"/>
      <c r="AA360" s="1001">
        <v>0</v>
      </c>
      <c r="AB360" s="978"/>
      <c r="AC360" s="1036">
        <f t="shared" si="61"/>
        <v>0</v>
      </c>
      <c r="AD360" s="783">
        <f t="shared" si="62"/>
        <v>0</v>
      </c>
      <c r="AE360" s="1321"/>
      <c r="AF360" s="1322"/>
      <c r="AG360" s="740"/>
    </row>
    <row r="361" spans="1:33">
      <c r="A361" s="96">
        <v>301001</v>
      </c>
      <c r="B361" s="1286" t="s">
        <v>817</v>
      </c>
      <c r="C361" s="782">
        <f>'TAR_Tab 2_Volumina'!N364</f>
        <v>1</v>
      </c>
      <c r="D361" s="976"/>
      <c r="E361" s="1318">
        <v>17861.01390568259</v>
      </c>
      <c r="F361" s="1116">
        <f t="shared" si="56"/>
        <v>16996.540832647552</v>
      </c>
      <c r="G361" s="1116">
        <f t="shared" si="57"/>
        <v>17393.767082242914</v>
      </c>
      <c r="H361" s="976"/>
      <c r="I361" s="1117">
        <f t="shared" si="64"/>
        <v>16524.078728130768</v>
      </c>
      <c r="J361" s="1117">
        <f t="shared" si="64"/>
        <v>18263.45543635506</v>
      </c>
      <c r="K361" s="1320"/>
      <c r="L361" s="1000" t="str">
        <f t="shared" si="58"/>
        <v/>
      </c>
      <c r="M361" s="1118">
        <f t="shared" si="59"/>
        <v>17393.767082242914</v>
      </c>
      <c r="N361" s="976"/>
      <c r="O361" s="1119">
        <f t="shared" si="55"/>
        <v>-806.68567480189563</v>
      </c>
      <c r="P361" s="1119">
        <f t="shared" si="63"/>
        <v>834.70472044811856</v>
      </c>
      <c r="Q361" s="1119">
        <f t="shared" si="63"/>
        <v>0</v>
      </c>
      <c r="R361" s="1119">
        <f t="shared" si="63"/>
        <v>31.44541525601797</v>
      </c>
      <c r="S361" s="1119">
        <f t="shared" ref="P361:W393" si="65">$M361*S$5</f>
        <v>728.26984823413966</v>
      </c>
      <c r="T361" s="1119">
        <f t="shared" si="65"/>
        <v>-95.309108646485171</v>
      </c>
      <c r="U361" s="1119">
        <f t="shared" si="65"/>
        <v>-3.5856362779786122</v>
      </c>
      <c r="V361" s="1119">
        <f t="shared" si="65"/>
        <v>-296.46925773814843</v>
      </c>
      <c r="W361" s="1119">
        <f t="shared" si="65"/>
        <v>23.392442910364515</v>
      </c>
      <c r="X361" s="978"/>
      <c r="Y361" s="1120">
        <f t="shared" si="60"/>
        <v>17809.529831627045</v>
      </c>
      <c r="Z361" s="1354"/>
      <c r="AA361" s="1001">
        <v>0.65931863591928352</v>
      </c>
      <c r="AB361" s="978"/>
      <c r="AC361" s="1036">
        <f t="shared" si="61"/>
        <v>0.65931863591928352</v>
      </c>
      <c r="AD361" s="783">
        <f t="shared" si="62"/>
        <v>0.65900000000000003</v>
      </c>
      <c r="AE361" s="1321"/>
      <c r="AF361" s="1322"/>
      <c r="AG361" s="740"/>
    </row>
    <row r="362" spans="1:33">
      <c r="A362" s="96">
        <v>301002</v>
      </c>
      <c r="B362" s="1286" t="s">
        <v>310</v>
      </c>
      <c r="C362" s="782">
        <f>'TAR_Tab 2_Volumina'!N365</f>
        <v>0</v>
      </c>
      <c r="D362" s="976"/>
      <c r="E362" s="1318">
        <v>0</v>
      </c>
      <c r="F362" s="1116">
        <f t="shared" si="56"/>
        <v>0</v>
      </c>
      <c r="G362" s="1116">
        <f t="shared" si="57"/>
        <v>0</v>
      </c>
      <c r="H362" s="976"/>
      <c r="I362" s="1117">
        <f t="shared" si="64"/>
        <v>0</v>
      </c>
      <c r="J362" s="1117">
        <f t="shared" si="64"/>
        <v>0</v>
      </c>
      <c r="K362" s="1320"/>
      <c r="L362" s="1000" t="str">
        <f t="shared" si="58"/>
        <v/>
      </c>
      <c r="M362" s="1118">
        <f t="shared" si="59"/>
        <v>0</v>
      </c>
      <c r="N362" s="976"/>
      <c r="O362" s="1119">
        <f t="shared" ref="O362:O425" si="66">$M362*O$5</f>
        <v>0</v>
      </c>
      <c r="P362" s="1119">
        <f t="shared" si="65"/>
        <v>0</v>
      </c>
      <c r="Q362" s="1119">
        <f t="shared" si="65"/>
        <v>0</v>
      </c>
      <c r="R362" s="1119">
        <f t="shared" si="65"/>
        <v>0</v>
      </c>
      <c r="S362" s="1119">
        <f t="shared" si="65"/>
        <v>0</v>
      </c>
      <c r="T362" s="1119">
        <f t="shared" si="65"/>
        <v>0</v>
      </c>
      <c r="U362" s="1119">
        <f t="shared" si="65"/>
        <v>0</v>
      </c>
      <c r="V362" s="1119">
        <f t="shared" si="65"/>
        <v>0</v>
      </c>
      <c r="W362" s="1119">
        <f t="shared" si="65"/>
        <v>0</v>
      </c>
      <c r="X362" s="978"/>
      <c r="Y362" s="1120">
        <f t="shared" si="60"/>
        <v>0</v>
      </c>
      <c r="Z362" s="1354"/>
      <c r="AA362" s="1001">
        <v>0</v>
      </c>
      <c r="AB362" s="978"/>
      <c r="AC362" s="1036">
        <f t="shared" si="61"/>
        <v>0</v>
      </c>
      <c r="AD362" s="783">
        <f t="shared" si="62"/>
        <v>0</v>
      </c>
      <c r="AE362" s="1321"/>
      <c r="AF362" s="1322"/>
      <c r="AG362" s="740"/>
    </row>
    <row r="363" spans="1:33">
      <c r="A363" s="96">
        <v>301006</v>
      </c>
      <c r="B363" s="1286" t="s">
        <v>211</v>
      </c>
      <c r="C363" s="782">
        <f>'TAR_Tab 2_Volumina'!N366</f>
        <v>0</v>
      </c>
      <c r="D363" s="976"/>
      <c r="E363" s="1318">
        <v>0</v>
      </c>
      <c r="F363" s="1116">
        <f t="shared" si="56"/>
        <v>0</v>
      </c>
      <c r="G363" s="1116">
        <f t="shared" si="57"/>
        <v>0</v>
      </c>
      <c r="H363" s="976"/>
      <c r="I363" s="1117">
        <f t="shared" si="64"/>
        <v>0</v>
      </c>
      <c r="J363" s="1117">
        <f t="shared" si="64"/>
        <v>0</v>
      </c>
      <c r="K363" s="1320"/>
      <c r="L363" s="1000" t="str">
        <f t="shared" si="58"/>
        <v/>
      </c>
      <c r="M363" s="1118">
        <f t="shared" si="59"/>
        <v>0</v>
      </c>
      <c r="N363" s="976"/>
      <c r="O363" s="1119">
        <f t="shared" si="66"/>
        <v>0</v>
      </c>
      <c r="P363" s="1119">
        <f t="shared" si="65"/>
        <v>0</v>
      </c>
      <c r="Q363" s="1119">
        <f t="shared" si="65"/>
        <v>0</v>
      </c>
      <c r="R363" s="1119">
        <f t="shared" si="65"/>
        <v>0</v>
      </c>
      <c r="S363" s="1119">
        <f t="shared" si="65"/>
        <v>0</v>
      </c>
      <c r="T363" s="1119">
        <f t="shared" si="65"/>
        <v>0</v>
      </c>
      <c r="U363" s="1119">
        <f t="shared" si="65"/>
        <v>0</v>
      </c>
      <c r="V363" s="1119">
        <f t="shared" si="65"/>
        <v>0</v>
      </c>
      <c r="W363" s="1119">
        <f t="shared" si="65"/>
        <v>0</v>
      </c>
      <c r="X363" s="978"/>
      <c r="Y363" s="1120">
        <f t="shared" si="60"/>
        <v>0</v>
      </c>
      <c r="Z363" s="1354"/>
      <c r="AA363" s="1001">
        <v>0</v>
      </c>
      <c r="AB363" s="978"/>
      <c r="AC363" s="1036">
        <f t="shared" si="61"/>
        <v>0</v>
      </c>
      <c r="AD363" s="783">
        <f t="shared" si="62"/>
        <v>0</v>
      </c>
      <c r="AE363" s="1321"/>
      <c r="AF363" s="1322"/>
      <c r="AG363" s="740"/>
    </row>
    <row r="364" spans="1:33">
      <c r="A364" s="96">
        <v>301009</v>
      </c>
      <c r="B364" s="1286" t="s">
        <v>107</v>
      </c>
      <c r="C364" s="782">
        <f>'TAR_Tab 2_Volumina'!N367</f>
        <v>0</v>
      </c>
      <c r="D364" s="976"/>
      <c r="E364" s="1318">
        <v>0</v>
      </c>
      <c r="F364" s="1116">
        <f t="shared" si="56"/>
        <v>0</v>
      </c>
      <c r="G364" s="1116">
        <f t="shared" si="57"/>
        <v>0</v>
      </c>
      <c r="H364" s="976"/>
      <c r="I364" s="1117">
        <f t="shared" si="64"/>
        <v>0</v>
      </c>
      <c r="J364" s="1117">
        <f t="shared" si="64"/>
        <v>0</v>
      </c>
      <c r="K364" s="1320"/>
      <c r="L364" s="1000" t="str">
        <f t="shared" si="58"/>
        <v/>
      </c>
      <c r="M364" s="1118">
        <f t="shared" si="59"/>
        <v>0</v>
      </c>
      <c r="N364" s="976"/>
      <c r="O364" s="1119">
        <f t="shared" si="66"/>
        <v>0</v>
      </c>
      <c r="P364" s="1119">
        <f t="shared" si="65"/>
        <v>0</v>
      </c>
      <c r="Q364" s="1119">
        <f t="shared" si="65"/>
        <v>0</v>
      </c>
      <c r="R364" s="1119">
        <f t="shared" si="65"/>
        <v>0</v>
      </c>
      <c r="S364" s="1119">
        <f t="shared" si="65"/>
        <v>0</v>
      </c>
      <c r="T364" s="1119">
        <f t="shared" si="65"/>
        <v>0</v>
      </c>
      <c r="U364" s="1119">
        <f t="shared" si="65"/>
        <v>0</v>
      </c>
      <c r="V364" s="1119">
        <f t="shared" si="65"/>
        <v>0</v>
      </c>
      <c r="W364" s="1119">
        <f t="shared" si="65"/>
        <v>0</v>
      </c>
      <c r="X364" s="978"/>
      <c r="Y364" s="1120">
        <f t="shared" si="60"/>
        <v>0</v>
      </c>
      <c r="Z364" s="1354"/>
      <c r="AA364" s="1001">
        <v>0</v>
      </c>
      <c r="AB364" s="978"/>
      <c r="AC364" s="1036">
        <f t="shared" si="61"/>
        <v>0</v>
      </c>
      <c r="AD364" s="783">
        <f t="shared" si="62"/>
        <v>0</v>
      </c>
      <c r="AE364" s="1321"/>
      <c r="AF364" s="1322"/>
      <c r="AG364" s="740"/>
    </row>
    <row r="365" spans="1:33">
      <c r="A365" s="96">
        <v>301013</v>
      </c>
      <c r="B365" s="1286" t="s">
        <v>212</v>
      </c>
      <c r="C365" s="782">
        <f>'TAR_Tab 2_Volumina'!N368</f>
        <v>0</v>
      </c>
      <c r="D365" s="976"/>
      <c r="E365" s="1318">
        <v>0</v>
      </c>
      <c r="F365" s="1116">
        <f t="shared" si="56"/>
        <v>0</v>
      </c>
      <c r="G365" s="1116">
        <f t="shared" si="57"/>
        <v>0</v>
      </c>
      <c r="H365" s="976"/>
      <c r="I365" s="1117">
        <f t="shared" si="64"/>
        <v>0</v>
      </c>
      <c r="J365" s="1117">
        <f t="shared" si="64"/>
        <v>0</v>
      </c>
      <c r="K365" s="1320"/>
      <c r="L365" s="1000" t="str">
        <f t="shared" si="58"/>
        <v/>
      </c>
      <c r="M365" s="1118">
        <f t="shared" si="59"/>
        <v>0</v>
      </c>
      <c r="N365" s="976"/>
      <c r="O365" s="1119">
        <f t="shared" si="66"/>
        <v>0</v>
      </c>
      <c r="P365" s="1119">
        <f t="shared" si="65"/>
        <v>0</v>
      </c>
      <c r="Q365" s="1119">
        <f t="shared" si="65"/>
        <v>0</v>
      </c>
      <c r="R365" s="1119">
        <f t="shared" si="65"/>
        <v>0</v>
      </c>
      <c r="S365" s="1119">
        <f t="shared" si="65"/>
        <v>0</v>
      </c>
      <c r="T365" s="1119">
        <f t="shared" si="65"/>
        <v>0</v>
      </c>
      <c r="U365" s="1119">
        <f t="shared" si="65"/>
        <v>0</v>
      </c>
      <c r="V365" s="1119">
        <f t="shared" si="65"/>
        <v>0</v>
      </c>
      <c r="W365" s="1119">
        <f t="shared" si="65"/>
        <v>0</v>
      </c>
      <c r="X365" s="978"/>
      <c r="Y365" s="1120">
        <f t="shared" si="60"/>
        <v>0</v>
      </c>
      <c r="Z365" s="1354"/>
      <c r="AA365" s="1001">
        <v>0</v>
      </c>
      <c r="AB365" s="978"/>
      <c r="AC365" s="1036">
        <f t="shared" si="61"/>
        <v>0</v>
      </c>
      <c r="AD365" s="783">
        <f t="shared" si="62"/>
        <v>0</v>
      </c>
      <c r="AE365" s="1321"/>
      <c r="AF365" s="1322"/>
      <c r="AG365" s="740"/>
    </row>
    <row r="366" spans="1:33">
      <c r="A366" s="96">
        <v>301014</v>
      </c>
      <c r="B366" s="1286" t="s">
        <v>213</v>
      </c>
      <c r="C366" s="782">
        <f>'TAR_Tab 2_Volumina'!N369</f>
        <v>0</v>
      </c>
      <c r="D366" s="976"/>
      <c r="E366" s="1318">
        <v>0</v>
      </c>
      <c r="F366" s="1116">
        <f t="shared" si="56"/>
        <v>0</v>
      </c>
      <c r="G366" s="1116">
        <f t="shared" si="57"/>
        <v>0</v>
      </c>
      <c r="H366" s="976"/>
      <c r="I366" s="1117">
        <f t="shared" si="64"/>
        <v>0</v>
      </c>
      <c r="J366" s="1117">
        <f t="shared" si="64"/>
        <v>0</v>
      </c>
      <c r="K366" s="1320"/>
      <c r="L366" s="1000" t="str">
        <f t="shared" si="58"/>
        <v/>
      </c>
      <c r="M366" s="1118">
        <f t="shared" si="59"/>
        <v>0</v>
      </c>
      <c r="N366" s="976"/>
      <c r="O366" s="1119">
        <f t="shared" si="66"/>
        <v>0</v>
      </c>
      <c r="P366" s="1119">
        <f t="shared" si="65"/>
        <v>0</v>
      </c>
      <c r="Q366" s="1119">
        <f t="shared" si="65"/>
        <v>0</v>
      </c>
      <c r="R366" s="1119">
        <f t="shared" si="65"/>
        <v>0</v>
      </c>
      <c r="S366" s="1119">
        <f t="shared" si="65"/>
        <v>0</v>
      </c>
      <c r="T366" s="1119">
        <f t="shared" si="65"/>
        <v>0</v>
      </c>
      <c r="U366" s="1119">
        <f t="shared" si="65"/>
        <v>0</v>
      </c>
      <c r="V366" s="1119">
        <f t="shared" si="65"/>
        <v>0</v>
      </c>
      <c r="W366" s="1119">
        <f t="shared" si="65"/>
        <v>0</v>
      </c>
      <c r="X366" s="978"/>
      <c r="Y366" s="1120">
        <f t="shared" si="60"/>
        <v>0</v>
      </c>
      <c r="Z366" s="1354"/>
      <c r="AA366" s="1001">
        <v>0</v>
      </c>
      <c r="AB366" s="978"/>
      <c r="AC366" s="1036">
        <f t="shared" si="61"/>
        <v>0</v>
      </c>
      <c r="AD366" s="783">
        <f t="shared" si="62"/>
        <v>0</v>
      </c>
      <c r="AE366" s="1321"/>
      <c r="AF366" s="1322"/>
      <c r="AG366" s="740"/>
    </row>
    <row r="367" spans="1:33">
      <c r="A367" s="96">
        <v>301015</v>
      </c>
      <c r="B367" s="1286" t="s">
        <v>214</v>
      </c>
      <c r="C367" s="782">
        <f>'TAR_Tab 2_Volumina'!N370</f>
        <v>0</v>
      </c>
      <c r="D367" s="976"/>
      <c r="E367" s="1318">
        <v>0</v>
      </c>
      <c r="F367" s="1116">
        <f t="shared" si="56"/>
        <v>0</v>
      </c>
      <c r="G367" s="1116">
        <f t="shared" si="57"/>
        <v>0</v>
      </c>
      <c r="H367" s="976"/>
      <c r="I367" s="1117">
        <f t="shared" si="64"/>
        <v>0</v>
      </c>
      <c r="J367" s="1117">
        <f t="shared" si="64"/>
        <v>0</v>
      </c>
      <c r="K367" s="1320"/>
      <c r="L367" s="1000" t="str">
        <f t="shared" si="58"/>
        <v/>
      </c>
      <c r="M367" s="1118">
        <f t="shared" si="59"/>
        <v>0</v>
      </c>
      <c r="N367" s="976"/>
      <c r="O367" s="1119">
        <f t="shared" si="66"/>
        <v>0</v>
      </c>
      <c r="P367" s="1119">
        <f t="shared" si="65"/>
        <v>0</v>
      </c>
      <c r="Q367" s="1119">
        <f t="shared" si="65"/>
        <v>0</v>
      </c>
      <c r="R367" s="1119">
        <f t="shared" si="65"/>
        <v>0</v>
      </c>
      <c r="S367" s="1119">
        <f t="shared" si="65"/>
        <v>0</v>
      </c>
      <c r="T367" s="1119">
        <f t="shared" si="65"/>
        <v>0</v>
      </c>
      <c r="U367" s="1119">
        <f t="shared" si="65"/>
        <v>0</v>
      </c>
      <c r="V367" s="1119">
        <f t="shared" si="65"/>
        <v>0</v>
      </c>
      <c r="W367" s="1119">
        <f t="shared" si="65"/>
        <v>0</v>
      </c>
      <c r="X367" s="978"/>
      <c r="Y367" s="1120">
        <f t="shared" si="60"/>
        <v>0</v>
      </c>
      <c r="Z367" s="1354"/>
      <c r="AA367" s="1001">
        <v>0</v>
      </c>
      <c r="AB367" s="978"/>
      <c r="AC367" s="1036">
        <f t="shared" si="61"/>
        <v>0</v>
      </c>
      <c r="AD367" s="783">
        <f t="shared" si="62"/>
        <v>0</v>
      </c>
      <c r="AE367" s="1321"/>
      <c r="AF367" s="1322"/>
      <c r="AG367" s="740"/>
    </row>
    <row r="368" spans="1:33">
      <c r="A368" s="96">
        <v>301016</v>
      </c>
      <c r="B368" s="1286" t="s">
        <v>311</v>
      </c>
      <c r="C368" s="782">
        <f>'TAR_Tab 2_Volumina'!N371</f>
        <v>0</v>
      </c>
      <c r="D368" s="976"/>
      <c r="E368" s="1318">
        <v>0</v>
      </c>
      <c r="F368" s="1116">
        <f t="shared" si="56"/>
        <v>0</v>
      </c>
      <c r="G368" s="1116">
        <f t="shared" si="57"/>
        <v>0</v>
      </c>
      <c r="H368" s="976"/>
      <c r="I368" s="1117">
        <f t="shared" si="64"/>
        <v>0</v>
      </c>
      <c r="J368" s="1117">
        <f t="shared" si="64"/>
        <v>0</v>
      </c>
      <c r="K368" s="1320"/>
      <c r="L368" s="1000" t="str">
        <f t="shared" si="58"/>
        <v/>
      </c>
      <c r="M368" s="1118">
        <f t="shared" si="59"/>
        <v>0</v>
      </c>
      <c r="N368" s="976"/>
      <c r="O368" s="1119">
        <f t="shared" si="66"/>
        <v>0</v>
      </c>
      <c r="P368" s="1119">
        <f t="shared" si="65"/>
        <v>0</v>
      </c>
      <c r="Q368" s="1119">
        <f t="shared" si="65"/>
        <v>0</v>
      </c>
      <c r="R368" s="1119">
        <f t="shared" si="65"/>
        <v>0</v>
      </c>
      <c r="S368" s="1119">
        <f t="shared" si="65"/>
        <v>0</v>
      </c>
      <c r="T368" s="1119">
        <f t="shared" si="65"/>
        <v>0</v>
      </c>
      <c r="U368" s="1119">
        <f t="shared" si="65"/>
        <v>0</v>
      </c>
      <c r="V368" s="1119">
        <f t="shared" si="65"/>
        <v>0</v>
      </c>
      <c r="W368" s="1119">
        <f t="shared" si="65"/>
        <v>0</v>
      </c>
      <c r="X368" s="978"/>
      <c r="Y368" s="1120">
        <f t="shared" si="60"/>
        <v>0</v>
      </c>
      <c r="Z368" s="1354"/>
      <c r="AA368" s="1001">
        <v>0</v>
      </c>
      <c r="AB368" s="978"/>
      <c r="AC368" s="1036">
        <f t="shared" si="61"/>
        <v>0</v>
      </c>
      <c r="AD368" s="783">
        <f t="shared" si="62"/>
        <v>0</v>
      </c>
      <c r="AE368" s="1321"/>
      <c r="AF368" s="1322"/>
      <c r="AG368" s="740"/>
    </row>
    <row r="369" spans="1:33">
      <c r="A369" s="96">
        <v>301017</v>
      </c>
      <c r="B369" s="1286" t="s">
        <v>312</v>
      </c>
      <c r="C369" s="782">
        <f>'TAR_Tab 2_Volumina'!N372</f>
        <v>0</v>
      </c>
      <c r="D369" s="976"/>
      <c r="E369" s="1318">
        <v>0</v>
      </c>
      <c r="F369" s="1116">
        <f t="shared" si="56"/>
        <v>0</v>
      </c>
      <c r="G369" s="1116">
        <f t="shared" si="57"/>
        <v>0</v>
      </c>
      <c r="H369" s="976"/>
      <c r="I369" s="1117">
        <f t="shared" si="64"/>
        <v>0</v>
      </c>
      <c r="J369" s="1117">
        <f t="shared" si="64"/>
        <v>0</v>
      </c>
      <c r="K369" s="1320"/>
      <c r="L369" s="1000" t="str">
        <f t="shared" si="58"/>
        <v/>
      </c>
      <c r="M369" s="1118">
        <f t="shared" si="59"/>
        <v>0</v>
      </c>
      <c r="N369" s="976"/>
      <c r="O369" s="1119">
        <f t="shared" si="66"/>
        <v>0</v>
      </c>
      <c r="P369" s="1119">
        <f t="shared" si="65"/>
        <v>0</v>
      </c>
      <c r="Q369" s="1119">
        <f t="shared" si="65"/>
        <v>0</v>
      </c>
      <c r="R369" s="1119">
        <f t="shared" si="65"/>
        <v>0</v>
      </c>
      <c r="S369" s="1119">
        <f t="shared" si="65"/>
        <v>0</v>
      </c>
      <c r="T369" s="1119">
        <f t="shared" si="65"/>
        <v>0</v>
      </c>
      <c r="U369" s="1119">
        <f t="shared" si="65"/>
        <v>0</v>
      </c>
      <c r="V369" s="1119">
        <f t="shared" si="65"/>
        <v>0</v>
      </c>
      <c r="W369" s="1119">
        <f t="shared" si="65"/>
        <v>0</v>
      </c>
      <c r="X369" s="978"/>
      <c r="Y369" s="1120">
        <f t="shared" si="60"/>
        <v>0</v>
      </c>
      <c r="Z369" s="1354"/>
      <c r="AA369" s="1001">
        <v>0</v>
      </c>
      <c r="AB369" s="978"/>
      <c r="AC369" s="1036">
        <f t="shared" si="61"/>
        <v>0</v>
      </c>
      <c r="AD369" s="783">
        <f t="shared" si="62"/>
        <v>0</v>
      </c>
      <c r="AE369" s="1321"/>
      <c r="AF369" s="1322"/>
      <c r="AG369" s="740"/>
    </row>
    <row r="370" spans="1:33">
      <c r="A370" s="96">
        <v>301021</v>
      </c>
      <c r="B370" s="1286" t="s">
        <v>215</v>
      </c>
      <c r="C370" s="782">
        <f>'TAR_Tab 2_Volumina'!N373</f>
        <v>0</v>
      </c>
      <c r="D370" s="976"/>
      <c r="E370" s="1318">
        <v>0</v>
      </c>
      <c r="F370" s="1116">
        <f t="shared" si="56"/>
        <v>0</v>
      </c>
      <c r="G370" s="1116">
        <f t="shared" si="57"/>
        <v>0</v>
      </c>
      <c r="H370" s="976"/>
      <c r="I370" s="1117">
        <f t="shared" si="64"/>
        <v>0</v>
      </c>
      <c r="J370" s="1117">
        <f t="shared" si="64"/>
        <v>0</v>
      </c>
      <c r="K370" s="1320"/>
      <c r="L370" s="1000" t="str">
        <f t="shared" si="58"/>
        <v/>
      </c>
      <c r="M370" s="1118">
        <f t="shared" si="59"/>
        <v>0</v>
      </c>
      <c r="N370" s="976"/>
      <c r="O370" s="1119">
        <f t="shared" si="66"/>
        <v>0</v>
      </c>
      <c r="P370" s="1119">
        <f t="shared" si="65"/>
        <v>0</v>
      </c>
      <c r="Q370" s="1119">
        <f t="shared" si="65"/>
        <v>0</v>
      </c>
      <c r="R370" s="1119">
        <f t="shared" si="65"/>
        <v>0</v>
      </c>
      <c r="S370" s="1119">
        <f t="shared" si="65"/>
        <v>0</v>
      </c>
      <c r="T370" s="1119">
        <f t="shared" si="65"/>
        <v>0</v>
      </c>
      <c r="U370" s="1119">
        <f t="shared" si="65"/>
        <v>0</v>
      </c>
      <c r="V370" s="1119">
        <f t="shared" si="65"/>
        <v>0</v>
      </c>
      <c r="W370" s="1119">
        <f t="shared" si="65"/>
        <v>0</v>
      </c>
      <c r="X370" s="978"/>
      <c r="Y370" s="1120">
        <f t="shared" si="60"/>
        <v>0</v>
      </c>
      <c r="Z370" s="1354"/>
      <c r="AA370" s="1001">
        <v>0</v>
      </c>
      <c r="AB370" s="978"/>
      <c r="AC370" s="1036">
        <f t="shared" si="61"/>
        <v>0</v>
      </c>
      <c r="AD370" s="783">
        <f t="shared" si="62"/>
        <v>0</v>
      </c>
      <c r="AE370" s="1321"/>
      <c r="AF370" s="1322"/>
      <c r="AG370" s="740"/>
    </row>
    <row r="371" spans="1:33">
      <c r="A371" s="96">
        <v>301022</v>
      </c>
      <c r="B371" s="1286" t="s">
        <v>108</v>
      </c>
      <c r="C371" s="782">
        <f>'TAR_Tab 2_Volumina'!N374</f>
        <v>0</v>
      </c>
      <c r="D371" s="976"/>
      <c r="E371" s="1318">
        <v>0</v>
      </c>
      <c r="F371" s="1116">
        <f t="shared" si="56"/>
        <v>0</v>
      </c>
      <c r="G371" s="1116">
        <f t="shared" si="57"/>
        <v>0</v>
      </c>
      <c r="H371" s="976"/>
      <c r="I371" s="1117">
        <f t="shared" si="64"/>
        <v>0</v>
      </c>
      <c r="J371" s="1117">
        <f t="shared" si="64"/>
        <v>0</v>
      </c>
      <c r="K371" s="1320"/>
      <c r="L371" s="1000" t="str">
        <f t="shared" si="58"/>
        <v/>
      </c>
      <c r="M371" s="1118">
        <f t="shared" si="59"/>
        <v>0</v>
      </c>
      <c r="N371" s="976"/>
      <c r="O371" s="1119">
        <f t="shared" si="66"/>
        <v>0</v>
      </c>
      <c r="P371" s="1119">
        <f t="shared" si="65"/>
        <v>0</v>
      </c>
      <c r="Q371" s="1119">
        <f t="shared" si="65"/>
        <v>0</v>
      </c>
      <c r="R371" s="1119">
        <f t="shared" si="65"/>
        <v>0</v>
      </c>
      <c r="S371" s="1119">
        <f t="shared" si="65"/>
        <v>0</v>
      </c>
      <c r="T371" s="1119">
        <f t="shared" si="65"/>
        <v>0</v>
      </c>
      <c r="U371" s="1119">
        <f t="shared" si="65"/>
        <v>0</v>
      </c>
      <c r="V371" s="1119">
        <f t="shared" si="65"/>
        <v>0</v>
      </c>
      <c r="W371" s="1119">
        <f t="shared" si="65"/>
        <v>0</v>
      </c>
      <c r="X371" s="978"/>
      <c r="Y371" s="1120">
        <f t="shared" si="60"/>
        <v>0</v>
      </c>
      <c r="Z371" s="1354"/>
      <c r="AA371" s="1001">
        <v>0</v>
      </c>
      <c r="AB371" s="978"/>
      <c r="AC371" s="1036">
        <f t="shared" si="61"/>
        <v>0</v>
      </c>
      <c r="AD371" s="783">
        <f t="shared" si="62"/>
        <v>0</v>
      </c>
      <c r="AE371" s="1321"/>
      <c r="AF371" s="1322"/>
      <c r="AG371" s="740"/>
    </row>
    <row r="372" spans="1:33">
      <c r="A372" s="96">
        <v>301024</v>
      </c>
      <c r="B372" s="1286" t="s">
        <v>216</v>
      </c>
      <c r="C372" s="782">
        <f>'TAR_Tab 2_Volumina'!N375</f>
        <v>0</v>
      </c>
      <c r="D372" s="976"/>
      <c r="E372" s="1318">
        <v>0</v>
      </c>
      <c r="F372" s="1116">
        <f t="shared" si="56"/>
        <v>0</v>
      </c>
      <c r="G372" s="1116">
        <f t="shared" si="57"/>
        <v>0</v>
      </c>
      <c r="H372" s="976"/>
      <c r="I372" s="1117">
        <f t="shared" si="64"/>
        <v>0</v>
      </c>
      <c r="J372" s="1117">
        <f t="shared" si="64"/>
        <v>0</v>
      </c>
      <c r="K372" s="1320"/>
      <c r="L372" s="1000" t="str">
        <f t="shared" si="58"/>
        <v/>
      </c>
      <c r="M372" s="1118">
        <f t="shared" si="59"/>
        <v>0</v>
      </c>
      <c r="N372" s="976"/>
      <c r="O372" s="1119">
        <f t="shared" si="66"/>
        <v>0</v>
      </c>
      <c r="P372" s="1119">
        <f t="shared" si="65"/>
        <v>0</v>
      </c>
      <c r="Q372" s="1119">
        <f t="shared" si="65"/>
        <v>0</v>
      </c>
      <c r="R372" s="1119">
        <f t="shared" si="65"/>
        <v>0</v>
      </c>
      <c r="S372" s="1119">
        <f t="shared" si="65"/>
        <v>0</v>
      </c>
      <c r="T372" s="1119">
        <f t="shared" si="65"/>
        <v>0</v>
      </c>
      <c r="U372" s="1119">
        <f t="shared" si="65"/>
        <v>0</v>
      </c>
      <c r="V372" s="1119">
        <f t="shared" si="65"/>
        <v>0</v>
      </c>
      <c r="W372" s="1119">
        <f t="shared" si="65"/>
        <v>0</v>
      </c>
      <c r="X372" s="978"/>
      <c r="Y372" s="1120">
        <f t="shared" si="60"/>
        <v>0</v>
      </c>
      <c r="Z372" s="1354"/>
      <c r="AA372" s="1001">
        <v>0</v>
      </c>
      <c r="AB372" s="978"/>
      <c r="AC372" s="1036">
        <f t="shared" si="61"/>
        <v>0</v>
      </c>
      <c r="AD372" s="783">
        <f t="shared" si="62"/>
        <v>0</v>
      </c>
      <c r="AE372" s="1321"/>
      <c r="AF372" s="1322"/>
      <c r="AG372" s="740"/>
    </row>
    <row r="373" spans="1:33">
      <c r="A373" s="96">
        <v>301025</v>
      </c>
      <c r="B373" s="1286" t="s">
        <v>217</v>
      </c>
      <c r="C373" s="782">
        <f>'TAR_Tab 2_Volumina'!N376</f>
        <v>0</v>
      </c>
      <c r="D373" s="976"/>
      <c r="E373" s="1318">
        <v>0</v>
      </c>
      <c r="F373" s="1116">
        <f t="shared" si="56"/>
        <v>0</v>
      </c>
      <c r="G373" s="1116">
        <f t="shared" si="57"/>
        <v>0</v>
      </c>
      <c r="H373" s="976"/>
      <c r="I373" s="1117">
        <f t="shared" si="64"/>
        <v>0</v>
      </c>
      <c r="J373" s="1117">
        <f t="shared" si="64"/>
        <v>0</v>
      </c>
      <c r="K373" s="1320"/>
      <c r="L373" s="1000" t="str">
        <f t="shared" si="58"/>
        <v/>
      </c>
      <c r="M373" s="1118">
        <f t="shared" si="59"/>
        <v>0</v>
      </c>
      <c r="N373" s="976"/>
      <c r="O373" s="1119">
        <f t="shared" si="66"/>
        <v>0</v>
      </c>
      <c r="P373" s="1119">
        <f t="shared" si="65"/>
        <v>0</v>
      </c>
      <c r="Q373" s="1119">
        <f t="shared" si="65"/>
        <v>0</v>
      </c>
      <c r="R373" s="1119">
        <f t="shared" si="65"/>
        <v>0</v>
      </c>
      <c r="S373" s="1119">
        <f t="shared" si="65"/>
        <v>0</v>
      </c>
      <c r="T373" s="1119">
        <f t="shared" si="65"/>
        <v>0</v>
      </c>
      <c r="U373" s="1119">
        <f t="shared" si="65"/>
        <v>0</v>
      </c>
      <c r="V373" s="1119">
        <f t="shared" si="65"/>
        <v>0</v>
      </c>
      <c r="W373" s="1119">
        <f t="shared" si="65"/>
        <v>0</v>
      </c>
      <c r="X373" s="978"/>
      <c r="Y373" s="1120">
        <f t="shared" si="60"/>
        <v>0</v>
      </c>
      <c r="Z373" s="1354"/>
      <c r="AA373" s="1001">
        <v>0</v>
      </c>
      <c r="AB373" s="978"/>
      <c r="AC373" s="1036">
        <f t="shared" si="61"/>
        <v>0</v>
      </c>
      <c r="AD373" s="783">
        <f t="shared" si="62"/>
        <v>0</v>
      </c>
      <c r="AE373" s="1321"/>
      <c r="AF373" s="1322"/>
      <c r="AG373" s="740"/>
    </row>
    <row r="374" spans="1:33">
      <c r="A374" s="96">
        <v>301027</v>
      </c>
      <c r="B374" s="1286" t="s">
        <v>818</v>
      </c>
      <c r="C374" s="782">
        <f>'TAR_Tab 2_Volumina'!N377</f>
        <v>0</v>
      </c>
      <c r="D374" s="976"/>
      <c r="E374" s="1318">
        <v>0</v>
      </c>
      <c r="F374" s="1116">
        <f t="shared" si="56"/>
        <v>0</v>
      </c>
      <c r="G374" s="1116">
        <f t="shared" si="57"/>
        <v>0</v>
      </c>
      <c r="H374" s="976"/>
      <c r="I374" s="1117">
        <f t="shared" si="64"/>
        <v>0</v>
      </c>
      <c r="J374" s="1117">
        <f t="shared" si="64"/>
        <v>0</v>
      </c>
      <c r="K374" s="1320"/>
      <c r="L374" s="1000" t="str">
        <f t="shared" si="58"/>
        <v/>
      </c>
      <c r="M374" s="1118">
        <f t="shared" si="59"/>
        <v>0</v>
      </c>
      <c r="N374" s="976"/>
      <c r="O374" s="1119">
        <f t="shared" si="66"/>
        <v>0</v>
      </c>
      <c r="P374" s="1119">
        <f t="shared" si="65"/>
        <v>0</v>
      </c>
      <c r="Q374" s="1119">
        <f t="shared" si="65"/>
        <v>0</v>
      </c>
      <c r="R374" s="1119">
        <f t="shared" si="65"/>
        <v>0</v>
      </c>
      <c r="S374" s="1119">
        <f t="shared" si="65"/>
        <v>0</v>
      </c>
      <c r="T374" s="1119">
        <f t="shared" si="65"/>
        <v>0</v>
      </c>
      <c r="U374" s="1119">
        <f t="shared" si="65"/>
        <v>0</v>
      </c>
      <c r="V374" s="1119">
        <f t="shared" si="65"/>
        <v>0</v>
      </c>
      <c r="W374" s="1119">
        <f t="shared" si="65"/>
        <v>0</v>
      </c>
      <c r="X374" s="978"/>
      <c r="Y374" s="1120">
        <f t="shared" si="60"/>
        <v>0</v>
      </c>
      <c r="Z374" s="1354"/>
      <c r="AA374" s="1001">
        <v>0</v>
      </c>
      <c r="AB374" s="978"/>
      <c r="AC374" s="1036">
        <f t="shared" si="61"/>
        <v>0</v>
      </c>
      <c r="AD374" s="783">
        <f t="shared" si="62"/>
        <v>0</v>
      </c>
      <c r="AE374" s="1321"/>
      <c r="AF374" s="1322"/>
      <c r="AG374" s="740"/>
    </row>
    <row r="375" spans="1:33">
      <c r="A375" s="96">
        <v>301028</v>
      </c>
      <c r="B375" s="1286" t="s">
        <v>218</v>
      </c>
      <c r="C375" s="782">
        <f>'TAR_Tab 2_Volumina'!N378</f>
        <v>0</v>
      </c>
      <c r="D375" s="976"/>
      <c r="E375" s="1318">
        <v>0</v>
      </c>
      <c r="F375" s="1116">
        <f t="shared" si="56"/>
        <v>0</v>
      </c>
      <c r="G375" s="1116">
        <f t="shared" si="57"/>
        <v>0</v>
      </c>
      <c r="H375" s="976"/>
      <c r="I375" s="1117">
        <f t="shared" si="64"/>
        <v>0</v>
      </c>
      <c r="J375" s="1117">
        <f t="shared" si="64"/>
        <v>0</v>
      </c>
      <c r="K375" s="1320"/>
      <c r="L375" s="1000" t="str">
        <f t="shared" si="58"/>
        <v/>
      </c>
      <c r="M375" s="1118">
        <f t="shared" si="59"/>
        <v>0</v>
      </c>
      <c r="N375" s="976"/>
      <c r="O375" s="1119">
        <f t="shared" si="66"/>
        <v>0</v>
      </c>
      <c r="P375" s="1119">
        <f t="shared" si="65"/>
        <v>0</v>
      </c>
      <c r="Q375" s="1119">
        <f t="shared" si="65"/>
        <v>0</v>
      </c>
      <c r="R375" s="1119">
        <f t="shared" si="65"/>
        <v>0</v>
      </c>
      <c r="S375" s="1119">
        <f t="shared" si="65"/>
        <v>0</v>
      </c>
      <c r="T375" s="1119">
        <f t="shared" si="65"/>
        <v>0</v>
      </c>
      <c r="U375" s="1119">
        <f t="shared" si="65"/>
        <v>0</v>
      </c>
      <c r="V375" s="1119">
        <f t="shared" si="65"/>
        <v>0</v>
      </c>
      <c r="W375" s="1119">
        <f t="shared" si="65"/>
        <v>0</v>
      </c>
      <c r="X375" s="978"/>
      <c r="Y375" s="1120">
        <f t="shared" si="60"/>
        <v>0</v>
      </c>
      <c r="Z375" s="1354"/>
      <c r="AA375" s="1001">
        <v>0</v>
      </c>
      <c r="AB375" s="978"/>
      <c r="AC375" s="1036">
        <f t="shared" si="61"/>
        <v>0</v>
      </c>
      <c r="AD375" s="783">
        <f t="shared" si="62"/>
        <v>0</v>
      </c>
      <c r="AE375" s="1321"/>
      <c r="AF375" s="1322"/>
      <c r="AG375" s="740"/>
    </row>
    <row r="376" spans="1:33">
      <c r="A376" s="96">
        <v>301029</v>
      </c>
      <c r="B376" s="1286" t="s">
        <v>219</v>
      </c>
      <c r="C376" s="782">
        <f>'TAR_Tab 2_Volumina'!N379</f>
        <v>0</v>
      </c>
      <c r="D376" s="976"/>
      <c r="E376" s="1318">
        <v>0</v>
      </c>
      <c r="F376" s="1116">
        <f t="shared" si="56"/>
        <v>0</v>
      </c>
      <c r="G376" s="1116">
        <f t="shared" si="57"/>
        <v>0</v>
      </c>
      <c r="H376" s="976"/>
      <c r="I376" s="1117">
        <f t="shared" si="64"/>
        <v>0</v>
      </c>
      <c r="J376" s="1117">
        <f t="shared" si="64"/>
        <v>0</v>
      </c>
      <c r="K376" s="1320"/>
      <c r="L376" s="1000" t="str">
        <f t="shared" si="58"/>
        <v/>
      </c>
      <c r="M376" s="1118">
        <f t="shared" si="59"/>
        <v>0</v>
      </c>
      <c r="N376" s="976"/>
      <c r="O376" s="1119">
        <f t="shared" si="66"/>
        <v>0</v>
      </c>
      <c r="P376" s="1119">
        <f t="shared" si="65"/>
        <v>0</v>
      </c>
      <c r="Q376" s="1119">
        <f t="shared" si="65"/>
        <v>0</v>
      </c>
      <c r="R376" s="1119">
        <f t="shared" si="65"/>
        <v>0</v>
      </c>
      <c r="S376" s="1119">
        <f t="shared" si="65"/>
        <v>0</v>
      </c>
      <c r="T376" s="1119">
        <f t="shared" si="65"/>
        <v>0</v>
      </c>
      <c r="U376" s="1119">
        <f t="shared" si="65"/>
        <v>0</v>
      </c>
      <c r="V376" s="1119">
        <f t="shared" si="65"/>
        <v>0</v>
      </c>
      <c r="W376" s="1119">
        <f t="shared" si="65"/>
        <v>0</v>
      </c>
      <c r="X376" s="978"/>
      <c r="Y376" s="1120">
        <f t="shared" si="60"/>
        <v>0</v>
      </c>
      <c r="Z376" s="1354"/>
      <c r="AA376" s="1001">
        <v>0</v>
      </c>
      <c r="AB376" s="978"/>
      <c r="AC376" s="1036">
        <f t="shared" si="61"/>
        <v>0</v>
      </c>
      <c r="AD376" s="783">
        <f t="shared" si="62"/>
        <v>0</v>
      </c>
      <c r="AE376" s="1321"/>
      <c r="AF376" s="1322"/>
      <c r="AG376" s="740"/>
    </row>
    <row r="377" spans="1:33">
      <c r="A377" s="96">
        <v>301031</v>
      </c>
      <c r="B377" s="1286" t="s">
        <v>220</v>
      </c>
      <c r="C377" s="782">
        <f>'TAR_Tab 2_Volumina'!N380</f>
        <v>0</v>
      </c>
      <c r="D377" s="976"/>
      <c r="E377" s="1318">
        <v>0</v>
      </c>
      <c r="F377" s="1116">
        <f t="shared" si="56"/>
        <v>0</v>
      </c>
      <c r="G377" s="1116">
        <f t="shared" si="57"/>
        <v>0</v>
      </c>
      <c r="H377" s="976"/>
      <c r="I377" s="1117">
        <f t="shared" si="64"/>
        <v>0</v>
      </c>
      <c r="J377" s="1117">
        <f t="shared" si="64"/>
        <v>0</v>
      </c>
      <c r="K377" s="1320"/>
      <c r="L377" s="1000" t="str">
        <f t="shared" si="58"/>
        <v/>
      </c>
      <c r="M377" s="1118">
        <f t="shared" si="59"/>
        <v>0</v>
      </c>
      <c r="N377" s="976"/>
      <c r="O377" s="1119">
        <f t="shared" si="66"/>
        <v>0</v>
      </c>
      <c r="P377" s="1119">
        <f t="shared" si="65"/>
        <v>0</v>
      </c>
      <c r="Q377" s="1119">
        <f t="shared" si="65"/>
        <v>0</v>
      </c>
      <c r="R377" s="1119">
        <f t="shared" si="65"/>
        <v>0</v>
      </c>
      <c r="S377" s="1119">
        <f t="shared" si="65"/>
        <v>0</v>
      </c>
      <c r="T377" s="1119">
        <f t="shared" si="65"/>
        <v>0</v>
      </c>
      <c r="U377" s="1119">
        <f t="shared" si="65"/>
        <v>0</v>
      </c>
      <c r="V377" s="1119">
        <f t="shared" si="65"/>
        <v>0</v>
      </c>
      <c r="W377" s="1119">
        <f t="shared" si="65"/>
        <v>0</v>
      </c>
      <c r="X377" s="978"/>
      <c r="Y377" s="1120">
        <f t="shared" si="60"/>
        <v>0</v>
      </c>
      <c r="Z377" s="1354"/>
      <c r="AA377" s="1001">
        <v>0</v>
      </c>
      <c r="AB377" s="978"/>
      <c r="AC377" s="1036">
        <f t="shared" si="61"/>
        <v>0</v>
      </c>
      <c r="AD377" s="783">
        <f t="shared" si="62"/>
        <v>0</v>
      </c>
      <c r="AE377" s="1321"/>
      <c r="AF377" s="1322"/>
      <c r="AG377" s="740"/>
    </row>
    <row r="378" spans="1:33">
      <c r="A378" s="96">
        <v>301033</v>
      </c>
      <c r="B378" s="1286" t="s">
        <v>221</v>
      </c>
      <c r="C378" s="782">
        <f>'TAR_Tab 2_Volumina'!N381</f>
        <v>0</v>
      </c>
      <c r="D378" s="976"/>
      <c r="E378" s="1318">
        <v>0</v>
      </c>
      <c r="F378" s="1116">
        <f t="shared" si="56"/>
        <v>0</v>
      </c>
      <c r="G378" s="1116">
        <f t="shared" si="57"/>
        <v>0</v>
      </c>
      <c r="H378" s="976"/>
      <c r="I378" s="1117">
        <f t="shared" si="64"/>
        <v>0</v>
      </c>
      <c r="J378" s="1117">
        <f t="shared" si="64"/>
        <v>0</v>
      </c>
      <c r="K378" s="1320"/>
      <c r="L378" s="1000" t="str">
        <f t="shared" si="58"/>
        <v/>
      </c>
      <c r="M378" s="1118">
        <f t="shared" si="59"/>
        <v>0</v>
      </c>
      <c r="N378" s="976"/>
      <c r="O378" s="1119">
        <f t="shared" si="66"/>
        <v>0</v>
      </c>
      <c r="P378" s="1119">
        <f t="shared" si="65"/>
        <v>0</v>
      </c>
      <c r="Q378" s="1119">
        <f t="shared" si="65"/>
        <v>0</v>
      </c>
      <c r="R378" s="1119">
        <f t="shared" si="65"/>
        <v>0</v>
      </c>
      <c r="S378" s="1119">
        <f t="shared" si="65"/>
        <v>0</v>
      </c>
      <c r="T378" s="1119">
        <f t="shared" si="65"/>
        <v>0</v>
      </c>
      <c r="U378" s="1119">
        <f t="shared" si="65"/>
        <v>0</v>
      </c>
      <c r="V378" s="1119">
        <f t="shared" si="65"/>
        <v>0</v>
      </c>
      <c r="W378" s="1119">
        <f t="shared" si="65"/>
        <v>0</v>
      </c>
      <c r="X378" s="978"/>
      <c r="Y378" s="1120">
        <f t="shared" si="60"/>
        <v>0</v>
      </c>
      <c r="Z378" s="1354"/>
      <c r="AA378" s="1001">
        <v>0</v>
      </c>
      <c r="AB378" s="978"/>
      <c r="AC378" s="1036">
        <f t="shared" si="61"/>
        <v>0</v>
      </c>
      <c r="AD378" s="783">
        <f t="shared" si="62"/>
        <v>0</v>
      </c>
      <c r="AE378" s="1321"/>
      <c r="AF378" s="1322"/>
      <c r="AG378" s="740"/>
    </row>
    <row r="379" spans="1:33">
      <c r="A379" s="96">
        <v>301034</v>
      </c>
      <c r="B379" s="1286" t="s">
        <v>222</v>
      </c>
      <c r="C379" s="782">
        <f>'TAR_Tab 2_Volumina'!N382</f>
        <v>0</v>
      </c>
      <c r="D379" s="976"/>
      <c r="E379" s="1318">
        <v>0</v>
      </c>
      <c r="F379" s="1116">
        <f t="shared" si="56"/>
        <v>0</v>
      </c>
      <c r="G379" s="1116">
        <f t="shared" si="57"/>
        <v>0</v>
      </c>
      <c r="H379" s="976"/>
      <c r="I379" s="1117">
        <f t="shared" si="64"/>
        <v>0</v>
      </c>
      <c r="J379" s="1117">
        <f t="shared" si="64"/>
        <v>0</v>
      </c>
      <c r="K379" s="1320"/>
      <c r="L379" s="1000" t="str">
        <f t="shared" si="58"/>
        <v/>
      </c>
      <c r="M379" s="1118">
        <f t="shared" si="59"/>
        <v>0</v>
      </c>
      <c r="N379" s="976"/>
      <c r="O379" s="1119">
        <f t="shared" si="66"/>
        <v>0</v>
      </c>
      <c r="P379" s="1119">
        <f t="shared" si="65"/>
        <v>0</v>
      </c>
      <c r="Q379" s="1119">
        <f t="shared" si="65"/>
        <v>0</v>
      </c>
      <c r="R379" s="1119">
        <f t="shared" si="65"/>
        <v>0</v>
      </c>
      <c r="S379" s="1119">
        <f t="shared" si="65"/>
        <v>0</v>
      </c>
      <c r="T379" s="1119">
        <f t="shared" si="65"/>
        <v>0</v>
      </c>
      <c r="U379" s="1119">
        <f t="shared" si="65"/>
        <v>0</v>
      </c>
      <c r="V379" s="1119">
        <f t="shared" si="65"/>
        <v>0</v>
      </c>
      <c r="W379" s="1119">
        <f t="shared" si="65"/>
        <v>0</v>
      </c>
      <c r="X379" s="978"/>
      <c r="Y379" s="1120">
        <f t="shared" si="60"/>
        <v>0</v>
      </c>
      <c r="Z379" s="1354"/>
      <c r="AA379" s="1001">
        <v>0</v>
      </c>
      <c r="AB379" s="978"/>
      <c r="AC379" s="1036">
        <f t="shared" si="61"/>
        <v>0</v>
      </c>
      <c r="AD379" s="783">
        <f t="shared" si="62"/>
        <v>0</v>
      </c>
      <c r="AE379" s="1321"/>
      <c r="AF379" s="1322"/>
      <c r="AG379" s="740"/>
    </row>
    <row r="380" spans="1:33">
      <c r="A380" s="96">
        <v>301037</v>
      </c>
      <c r="B380" s="1286" t="s">
        <v>313</v>
      </c>
      <c r="C380" s="782">
        <f>'TAR_Tab 2_Volumina'!N383</f>
        <v>1</v>
      </c>
      <c r="D380" s="976"/>
      <c r="E380" s="1318">
        <v>125027.09733977813</v>
      </c>
      <c r="F380" s="1116">
        <f t="shared" si="56"/>
        <v>118975.78582853287</v>
      </c>
      <c r="G380" s="1116">
        <f t="shared" si="57"/>
        <v>121756.3695757004</v>
      </c>
      <c r="H380" s="976"/>
      <c r="I380" s="1117">
        <f t="shared" si="64"/>
        <v>115668.55109691538</v>
      </c>
      <c r="J380" s="1117">
        <f t="shared" si="64"/>
        <v>127844.18805448542</v>
      </c>
      <c r="K380" s="1320"/>
      <c r="L380" s="1000" t="str">
        <f t="shared" si="58"/>
        <v/>
      </c>
      <c r="M380" s="1118">
        <f t="shared" si="59"/>
        <v>121756.3695757004</v>
      </c>
      <c r="N380" s="976"/>
      <c r="O380" s="1119">
        <f t="shared" si="66"/>
        <v>-5646.7997236132696</v>
      </c>
      <c r="P380" s="1119">
        <f t="shared" si="65"/>
        <v>5842.9330431368307</v>
      </c>
      <c r="Q380" s="1119">
        <f t="shared" si="65"/>
        <v>0</v>
      </c>
      <c r="R380" s="1119">
        <f t="shared" si="65"/>
        <v>220.11790679212581</v>
      </c>
      <c r="S380" s="1119">
        <f t="shared" si="65"/>
        <v>5097.8889376389779</v>
      </c>
      <c r="T380" s="1119">
        <f t="shared" si="65"/>
        <v>-667.16376052539624</v>
      </c>
      <c r="U380" s="1119">
        <f t="shared" si="65"/>
        <v>-25.099453945850289</v>
      </c>
      <c r="V380" s="1119">
        <f t="shared" si="65"/>
        <v>-2075.2848041670391</v>
      </c>
      <c r="W380" s="1119">
        <f t="shared" si="65"/>
        <v>163.74710037255161</v>
      </c>
      <c r="X380" s="978"/>
      <c r="Y380" s="1120">
        <f t="shared" si="60"/>
        <v>124666.70882138933</v>
      </c>
      <c r="Z380" s="1354"/>
      <c r="AA380" s="1001">
        <v>9.9693162967193327E-2</v>
      </c>
      <c r="AB380" s="978"/>
      <c r="AC380" s="1036">
        <f t="shared" si="61"/>
        <v>9.9693162967193327E-2</v>
      </c>
      <c r="AD380" s="783">
        <f t="shared" si="62"/>
        <v>0.1</v>
      </c>
      <c r="AE380" s="1321"/>
      <c r="AF380" s="1322"/>
      <c r="AG380" s="740"/>
    </row>
    <row r="381" spans="1:33">
      <c r="A381" s="96">
        <v>301038</v>
      </c>
      <c r="B381" s="1286" t="s">
        <v>819</v>
      </c>
      <c r="C381" s="782">
        <f>'TAR_Tab 2_Volumina'!N384</f>
        <v>0</v>
      </c>
      <c r="D381" s="976"/>
      <c r="E381" s="1318">
        <v>0</v>
      </c>
      <c r="F381" s="1116">
        <f t="shared" si="56"/>
        <v>0</v>
      </c>
      <c r="G381" s="1116">
        <f t="shared" si="57"/>
        <v>0</v>
      </c>
      <c r="H381" s="976"/>
      <c r="I381" s="1117">
        <f t="shared" si="64"/>
        <v>0</v>
      </c>
      <c r="J381" s="1117">
        <f t="shared" si="64"/>
        <v>0</v>
      </c>
      <c r="K381" s="1320"/>
      <c r="L381" s="1000" t="str">
        <f t="shared" si="58"/>
        <v/>
      </c>
      <c r="M381" s="1118">
        <f t="shared" si="59"/>
        <v>0</v>
      </c>
      <c r="N381" s="976"/>
      <c r="O381" s="1119">
        <f t="shared" si="66"/>
        <v>0</v>
      </c>
      <c r="P381" s="1119">
        <f t="shared" si="65"/>
        <v>0</v>
      </c>
      <c r="Q381" s="1119">
        <f t="shared" si="65"/>
        <v>0</v>
      </c>
      <c r="R381" s="1119">
        <f t="shared" si="65"/>
        <v>0</v>
      </c>
      <c r="S381" s="1119">
        <f t="shared" si="65"/>
        <v>0</v>
      </c>
      <c r="T381" s="1119">
        <f t="shared" si="65"/>
        <v>0</v>
      </c>
      <c r="U381" s="1119">
        <f t="shared" si="65"/>
        <v>0</v>
      </c>
      <c r="V381" s="1119">
        <f t="shared" si="65"/>
        <v>0</v>
      </c>
      <c r="W381" s="1119">
        <f t="shared" si="65"/>
        <v>0</v>
      </c>
      <c r="X381" s="978"/>
      <c r="Y381" s="1120">
        <f t="shared" si="60"/>
        <v>0</v>
      </c>
      <c r="Z381" s="1354"/>
      <c r="AA381" s="1001">
        <v>0</v>
      </c>
      <c r="AB381" s="978"/>
      <c r="AC381" s="1036">
        <f t="shared" si="61"/>
        <v>0</v>
      </c>
      <c r="AD381" s="783">
        <f t="shared" si="62"/>
        <v>0</v>
      </c>
      <c r="AE381" s="1321"/>
      <c r="AF381" s="1322"/>
      <c r="AG381" s="740"/>
    </row>
    <row r="382" spans="1:33">
      <c r="A382" s="96">
        <v>301039</v>
      </c>
      <c r="B382" s="1286" t="s">
        <v>223</v>
      </c>
      <c r="C382" s="782">
        <f>'TAR_Tab 2_Volumina'!N385</f>
        <v>0</v>
      </c>
      <c r="D382" s="976"/>
      <c r="E382" s="1318">
        <v>0</v>
      </c>
      <c r="F382" s="1116">
        <f t="shared" si="56"/>
        <v>0</v>
      </c>
      <c r="G382" s="1116">
        <f t="shared" si="57"/>
        <v>0</v>
      </c>
      <c r="H382" s="976"/>
      <c r="I382" s="1117">
        <f t="shared" si="64"/>
        <v>0</v>
      </c>
      <c r="J382" s="1117">
        <f t="shared" si="64"/>
        <v>0</v>
      </c>
      <c r="K382" s="1320"/>
      <c r="L382" s="1000" t="str">
        <f t="shared" si="58"/>
        <v/>
      </c>
      <c r="M382" s="1118">
        <f t="shared" si="59"/>
        <v>0</v>
      </c>
      <c r="N382" s="976"/>
      <c r="O382" s="1119">
        <f t="shared" si="66"/>
        <v>0</v>
      </c>
      <c r="P382" s="1119">
        <f t="shared" si="65"/>
        <v>0</v>
      </c>
      <c r="Q382" s="1119">
        <f t="shared" si="65"/>
        <v>0</v>
      </c>
      <c r="R382" s="1119">
        <f t="shared" si="65"/>
        <v>0</v>
      </c>
      <c r="S382" s="1119">
        <f t="shared" si="65"/>
        <v>0</v>
      </c>
      <c r="T382" s="1119">
        <f t="shared" si="65"/>
        <v>0</v>
      </c>
      <c r="U382" s="1119">
        <f t="shared" si="65"/>
        <v>0</v>
      </c>
      <c r="V382" s="1119">
        <f t="shared" si="65"/>
        <v>0</v>
      </c>
      <c r="W382" s="1119">
        <f t="shared" si="65"/>
        <v>0</v>
      </c>
      <c r="X382" s="978"/>
      <c r="Y382" s="1120">
        <f t="shared" si="60"/>
        <v>0</v>
      </c>
      <c r="Z382" s="1354"/>
      <c r="AA382" s="1001">
        <v>0</v>
      </c>
      <c r="AB382" s="978"/>
      <c r="AC382" s="1036">
        <f t="shared" si="61"/>
        <v>0</v>
      </c>
      <c r="AD382" s="783">
        <f t="shared" si="62"/>
        <v>0</v>
      </c>
      <c r="AE382" s="1321"/>
      <c r="AF382" s="1322"/>
      <c r="AG382" s="740"/>
    </row>
    <row r="383" spans="1:33">
      <c r="A383" s="96">
        <v>301040</v>
      </c>
      <c r="B383" s="1286" t="s">
        <v>224</v>
      </c>
      <c r="C383" s="782">
        <f>'TAR_Tab 2_Volumina'!N386</f>
        <v>0</v>
      </c>
      <c r="D383" s="976"/>
      <c r="E383" s="1318">
        <v>0</v>
      </c>
      <c r="F383" s="1116">
        <f t="shared" si="56"/>
        <v>0</v>
      </c>
      <c r="G383" s="1116">
        <f t="shared" si="57"/>
        <v>0</v>
      </c>
      <c r="H383" s="976"/>
      <c r="I383" s="1117">
        <f t="shared" si="64"/>
        <v>0</v>
      </c>
      <c r="J383" s="1117">
        <f t="shared" si="64"/>
        <v>0</v>
      </c>
      <c r="K383" s="1320"/>
      <c r="L383" s="1000" t="str">
        <f t="shared" si="58"/>
        <v/>
      </c>
      <c r="M383" s="1118">
        <f t="shared" si="59"/>
        <v>0</v>
      </c>
      <c r="N383" s="976"/>
      <c r="O383" s="1119">
        <f t="shared" si="66"/>
        <v>0</v>
      </c>
      <c r="P383" s="1119">
        <f t="shared" si="65"/>
        <v>0</v>
      </c>
      <c r="Q383" s="1119">
        <f t="shared" si="65"/>
        <v>0</v>
      </c>
      <c r="R383" s="1119">
        <f t="shared" si="65"/>
        <v>0</v>
      </c>
      <c r="S383" s="1119">
        <f t="shared" si="65"/>
        <v>0</v>
      </c>
      <c r="T383" s="1119">
        <f t="shared" si="65"/>
        <v>0</v>
      </c>
      <c r="U383" s="1119">
        <f t="shared" si="65"/>
        <v>0</v>
      </c>
      <c r="V383" s="1119">
        <f t="shared" si="65"/>
        <v>0</v>
      </c>
      <c r="W383" s="1119">
        <f t="shared" si="65"/>
        <v>0</v>
      </c>
      <c r="X383" s="978"/>
      <c r="Y383" s="1120">
        <f t="shared" si="60"/>
        <v>0</v>
      </c>
      <c r="Z383" s="1354"/>
      <c r="AA383" s="1001">
        <v>0</v>
      </c>
      <c r="AB383" s="978"/>
      <c r="AC383" s="1036">
        <f t="shared" si="61"/>
        <v>0</v>
      </c>
      <c r="AD383" s="783">
        <f t="shared" si="62"/>
        <v>0</v>
      </c>
      <c r="AE383" s="1321"/>
      <c r="AF383" s="1322"/>
      <c r="AG383" s="740"/>
    </row>
    <row r="384" spans="1:33">
      <c r="A384" s="96">
        <v>301042</v>
      </c>
      <c r="B384" s="1286" t="s">
        <v>820</v>
      </c>
      <c r="C384" s="782">
        <f>'TAR_Tab 2_Volumina'!N387</f>
        <v>0</v>
      </c>
      <c r="D384" s="976"/>
      <c r="E384" s="1318">
        <v>0</v>
      </c>
      <c r="F384" s="1116">
        <f t="shared" si="56"/>
        <v>0</v>
      </c>
      <c r="G384" s="1116">
        <f t="shared" si="57"/>
        <v>0</v>
      </c>
      <c r="H384" s="976"/>
      <c r="I384" s="1117">
        <f t="shared" si="64"/>
        <v>0</v>
      </c>
      <c r="J384" s="1117">
        <f t="shared" si="64"/>
        <v>0</v>
      </c>
      <c r="K384" s="1320"/>
      <c r="L384" s="1000" t="str">
        <f t="shared" si="58"/>
        <v/>
      </c>
      <c r="M384" s="1118">
        <f t="shared" si="59"/>
        <v>0</v>
      </c>
      <c r="N384" s="976"/>
      <c r="O384" s="1119">
        <f t="shared" si="66"/>
        <v>0</v>
      </c>
      <c r="P384" s="1119">
        <f t="shared" si="65"/>
        <v>0</v>
      </c>
      <c r="Q384" s="1119">
        <f t="shared" si="65"/>
        <v>0</v>
      </c>
      <c r="R384" s="1119">
        <f t="shared" si="65"/>
        <v>0</v>
      </c>
      <c r="S384" s="1119">
        <f t="shared" si="65"/>
        <v>0</v>
      </c>
      <c r="T384" s="1119">
        <f t="shared" si="65"/>
        <v>0</v>
      </c>
      <c r="U384" s="1119">
        <f t="shared" si="65"/>
        <v>0</v>
      </c>
      <c r="V384" s="1119">
        <f t="shared" si="65"/>
        <v>0</v>
      </c>
      <c r="W384" s="1119">
        <f t="shared" si="65"/>
        <v>0</v>
      </c>
      <c r="X384" s="978"/>
      <c r="Y384" s="1120">
        <f t="shared" si="60"/>
        <v>0</v>
      </c>
      <c r="Z384" s="1354"/>
      <c r="AA384" s="1001">
        <v>0</v>
      </c>
      <c r="AB384" s="978"/>
      <c r="AC384" s="1036">
        <f t="shared" si="61"/>
        <v>0</v>
      </c>
      <c r="AD384" s="783">
        <f t="shared" si="62"/>
        <v>0</v>
      </c>
      <c r="AE384" s="1321"/>
      <c r="AF384" s="1322"/>
      <c r="AG384" s="740"/>
    </row>
    <row r="385" spans="1:33">
      <c r="A385" s="96">
        <v>301043</v>
      </c>
      <c r="B385" s="1286" t="s">
        <v>428</v>
      </c>
      <c r="C385" s="782">
        <f>'TAR_Tab 2_Volumina'!N388</f>
        <v>0</v>
      </c>
      <c r="D385" s="976"/>
      <c r="E385" s="1318">
        <v>0</v>
      </c>
      <c r="F385" s="1116">
        <f t="shared" si="56"/>
        <v>0</v>
      </c>
      <c r="G385" s="1116">
        <f t="shared" si="57"/>
        <v>0</v>
      </c>
      <c r="H385" s="976"/>
      <c r="I385" s="1117">
        <f t="shared" si="64"/>
        <v>0</v>
      </c>
      <c r="J385" s="1117">
        <f t="shared" si="64"/>
        <v>0</v>
      </c>
      <c r="K385" s="1320"/>
      <c r="L385" s="1000" t="str">
        <f t="shared" si="58"/>
        <v/>
      </c>
      <c r="M385" s="1118">
        <f t="shared" si="59"/>
        <v>0</v>
      </c>
      <c r="N385" s="976"/>
      <c r="O385" s="1119">
        <f t="shared" si="66"/>
        <v>0</v>
      </c>
      <c r="P385" s="1119">
        <f t="shared" si="65"/>
        <v>0</v>
      </c>
      <c r="Q385" s="1119">
        <f t="shared" si="65"/>
        <v>0</v>
      </c>
      <c r="R385" s="1119">
        <f t="shared" si="65"/>
        <v>0</v>
      </c>
      <c r="S385" s="1119">
        <f t="shared" si="65"/>
        <v>0</v>
      </c>
      <c r="T385" s="1119">
        <f t="shared" si="65"/>
        <v>0</v>
      </c>
      <c r="U385" s="1119">
        <f t="shared" si="65"/>
        <v>0</v>
      </c>
      <c r="V385" s="1119">
        <f t="shared" si="65"/>
        <v>0</v>
      </c>
      <c r="W385" s="1119">
        <f t="shared" si="65"/>
        <v>0</v>
      </c>
      <c r="X385" s="978"/>
      <c r="Y385" s="1120">
        <f t="shared" si="60"/>
        <v>0</v>
      </c>
      <c r="Z385" s="1354"/>
      <c r="AA385" s="1001">
        <v>0</v>
      </c>
      <c r="AB385" s="978"/>
      <c r="AC385" s="1036">
        <f t="shared" si="61"/>
        <v>0</v>
      </c>
      <c r="AD385" s="783">
        <f t="shared" si="62"/>
        <v>0</v>
      </c>
      <c r="AE385" s="1321"/>
      <c r="AF385" s="1322"/>
      <c r="AG385" s="740"/>
    </row>
    <row r="386" spans="1:33">
      <c r="A386" s="96">
        <v>301045</v>
      </c>
      <c r="B386" s="1286" t="s">
        <v>821</v>
      </c>
      <c r="C386" s="782">
        <f>'TAR_Tab 2_Volumina'!N389</f>
        <v>0</v>
      </c>
      <c r="D386" s="976"/>
      <c r="E386" s="1318">
        <v>0</v>
      </c>
      <c r="F386" s="1116">
        <f t="shared" si="56"/>
        <v>0</v>
      </c>
      <c r="G386" s="1116">
        <f t="shared" si="57"/>
        <v>0</v>
      </c>
      <c r="H386" s="976"/>
      <c r="I386" s="1117">
        <f t="shared" si="64"/>
        <v>0</v>
      </c>
      <c r="J386" s="1117">
        <f t="shared" si="64"/>
        <v>0</v>
      </c>
      <c r="K386" s="1320"/>
      <c r="L386" s="1000" t="str">
        <f t="shared" si="58"/>
        <v/>
      </c>
      <c r="M386" s="1118">
        <f t="shared" si="59"/>
        <v>0</v>
      </c>
      <c r="N386" s="976"/>
      <c r="O386" s="1119">
        <f t="shared" si="66"/>
        <v>0</v>
      </c>
      <c r="P386" s="1119">
        <f t="shared" si="65"/>
        <v>0</v>
      </c>
      <c r="Q386" s="1119">
        <f t="shared" si="65"/>
        <v>0</v>
      </c>
      <c r="R386" s="1119">
        <f t="shared" si="65"/>
        <v>0</v>
      </c>
      <c r="S386" s="1119">
        <f t="shared" si="65"/>
        <v>0</v>
      </c>
      <c r="T386" s="1119">
        <f t="shared" si="65"/>
        <v>0</v>
      </c>
      <c r="U386" s="1119">
        <f t="shared" si="65"/>
        <v>0</v>
      </c>
      <c r="V386" s="1119">
        <f t="shared" si="65"/>
        <v>0</v>
      </c>
      <c r="W386" s="1119">
        <f t="shared" si="65"/>
        <v>0</v>
      </c>
      <c r="X386" s="978"/>
      <c r="Y386" s="1120">
        <f t="shared" si="60"/>
        <v>0</v>
      </c>
      <c r="Z386" s="1354"/>
      <c r="AA386" s="1001">
        <v>0</v>
      </c>
      <c r="AB386" s="978"/>
      <c r="AC386" s="1036">
        <f t="shared" si="61"/>
        <v>0</v>
      </c>
      <c r="AD386" s="783">
        <f t="shared" si="62"/>
        <v>0</v>
      </c>
      <c r="AE386" s="1321"/>
      <c r="AF386" s="1322"/>
      <c r="AG386" s="740"/>
    </row>
    <row r="387" spans="1:33">
      <c r="A387" s="96">
        <v>301046</v>
      </c>
      <c r="B387" s="1286" t="s">
        <v>314</v>
      </c>
      <c r="C387" s="782">
        <f>'TAR_Tab 2_Volumina'!N390</f>
        <v>1</v>
      </c>
      <c r="D387" s="976"/>
      <c r="E387" s="1318">
        <v>53583.041717047774</v>
      </c>
      <c r="F387" s="1116">
        <f t="shared" si="56"/>
        <v>50989.622497942662</v>
      </c>
      <c r="G387" s="1116">
        <f t="shared" si="57"/>
        <v>52181.301246728748</v>
      </c>
      <c r="H387" s="976"/>
      <c r="I387" s="1117">
        <f t="shared" si="64"/>
        <v>49572.236184392306</v>
      </c>
      <c r="J387" s="1117">
        <f t="shared" si="64"/>
        <v>54790.36630906519</v>
      </c>
      <c r="K387" s="1320"/>
      <c r="L387" s="1000" t="str">
        <f t="shared" si="58"/>
        <v/>
      </c>
      <c r="M387" s="1118">
        <f t="shared" si="59"/>
        <v>52181.301246728748</v>
      </c>
      <c r="N387" s="976"/>
      <c r="O387" s="1119">
        <f t="shared" si="66"/>
        <v>-2420.0570244056871</v>
      </c>
      <c r="P387" s="1119">
        <f t="shared" si="65"/>
        <v>2504.114161344356</v>
      </c>
      <c r="Q387" s="1119">
        <f t="shared" si="65"/>
        <v>0</v>
      </c>
      <c r="R387" s="1119">
        <f t="shared" si="65"/>
        <v>94.336245768053928</v>
      </c>
      <c r="S387" s="1119">
        <f t="shared" si="65"/>
        <v>2184.8095447024193</v>
      </c>
      <c r="T387" s="1119">
        <f t="shared" si="65"/>
        <v>-285.92732593945556</v>
      </c>
      <c r="U387" s="1119">
        <f t="shared" si="65"/>
        <v>-10.756908833935839</v>
      </c>
      <c r="V387" s="1119">
        <f t="shared" si="65"/>
        <v>-889.40777321444534</v>
      </c>
      <c r="W387" s="1119">
        <f t="shared" si="65"/>
        <v>70.177328731093553</v>
      </c>
      <c r="X387" s="978"/>
      <c r="Y387" s="1120">
        <f t="shared" si="60"/>
        <v>53428.589494881147</v>
      </c>
      <c r="Z387" s="1354"/>
      <c r="AA387" s="1001">
        <v>0.24496708089911726</v>
      </c>
      <c r="AB387" s="978"/>
      <c r="AC387" s="1036">
        <f t="shared" si="61"/>
        <v>0.24496708089911726</v>
      </c>
      <c r="AD387" s="783">
        <f t="shared" si="62"/>
        <v>0.245</v>
      </c>
      <c r="AE387" s="1321"/>
      <c r="AF387" s="1322"/>
      <c r="AG387" s="740"/>
    </row>
    <row r="388" spans="1:33">
      <c r="A388" s="96">
        <v>301049</v>
      </c>
      <c r="B388" s="1286" t="s">
        <v>315</v>
      </c>
      <c r="C388" s="782">
        <f>'TAR_Tab 2_Volumina'!N391</f>
        <v>1</v>
      </c>
      <c r="D388" s="976"/>
      <c r="E388" s="1318">
        <v>35722.02781136518</v>
      </c>
      <c r="F388" s="1116">
        <f t="shared" si="56"/>
        <v>33993.081665295103</v>
      </c>
      <c r="G388" s="1116">
        <f t="shared" si="57"/>
        <v>34787.534164485827</v>
      </c>
      <c r="H388" s="976"/>
      <c r="I388" s="1117">
        <f t="shared" si="64"/>
        <v>33048.157456261535</v>
      </c>
      <c r="J388" s="1117">
        <f t="shared" si="64"/>
        <v>36526.910872710119</v>
      </c>
      <c r="K388" s="1320"/>
      <c r="L388" s="1000" t="str">
        <f t="shared" si="58"/>
        <v/>
      </c>
      <c r="M388" s="1118">
        <f t="shared" si="59"/>
        <v>34787.534164485827</v>
      </c>
      <c r="N388" s="976"/>
      <c r="O388" s="1119">
        <f t="shared" si="66"/>
        <v>-1613.3713496037913</v>
      </c>
      <c r="P388" s="1119">
        <f t="shared" si="65"/>
        <v>1669.4094408962371</v>
      </c>
      <c r="Q388" s="1119">
        <f t="shared" si="65"/>
        <v>0</v>
      </c>
      <c r="R388" s="1119">
        <f t="shared" si="65"/>
        <v>62.89083051203594</v>
      </c>
      <c r="S388" s="1119">
        <f t="shared" si="65"/>
        <v>1456.5396964682793</v>
      </c>
      <c r="T388" s="1119">
        <f t="shared" si="65"/>
        <v>-190.61821729297034</v>
      </c>
      <c r="U388" s="1119">
        <f t="shared" si="65"/>
        <v>-7.1712725559572243</v>
      </c>
      <c r="V388" s="1119">
        <f t="shared" si="65"/>
        <v>-592.93851547629686</v>
      </c>
      <c r="W388" s="1119">
        <f t="shared" si="65"/>
        <v>46.784885820729031</v>
      </c>
      <c r="X388" s="978"/>
      <c r="Y388" s="1120">
        <f t="shared" si="60"/>
        <v>35619.059663254091</v>
      </c>
      <c r="Z388" s="1354"/>
      <c r="AA388" s="1001">
        <v>0.13450141656200007</v>
      </c>
      <c r="AB388" s="978"/>
      <c r="AC388" s="1036">
        <f t="shared" si="61"/>
        <v>0.13450141656200007</v>
      </c>
      <c r="AD388" s="783">
        <f t="shared" si="62"/>
        <v>0.13500000000000001</v>
      </c>
      <c r="AE388" s="1321"/>
      <c r="AF388" s="1322"/>
      <c r="AG388" s="740"/>
    </row>
    <row r="389" spans="1:33">
      <c r="A389" s="96">
        <v>301050</v>
      </c>
      <c r="B389" s="1286" t="s">
        <v>225</v>
      </c>
      <c r="C389" s="782">
        <f>'TAR_Tab 2_Volumina'!N392</f>
        <v>0</v>
      </c>
      <c r="D389" s="976"/>
      <c r="E389" s="1318">
        <v>0</v>
      </c>
      <c r="F389" s="1116">
        <f t="shared" si="56"/>
        <v>0</v>
      </c>
      <c r="G389" s="1116">
        <f t="shared" si="57"/>
        <v>0</v>
      </c>
      <c r="H389" s="976"/>
      <c r="I389" s="1117">
        <f t="shared" si="64"/>
        <v>0</v>
      </c>
      <c r="J389" s="1117">
        <f t="shared" si="64"/>
        <v>0</v>
      </c>
      <c r="K389" s="1320"/>
      <c r="L389" s="1000" t="str">
        <f t="shared" si="58"/>
        <v/>
      </c>
      <c r="M389" s="1118">
        <f t="shared" si="59"/>
        <v>0</v>
      </c>
      <c r="N389" s="976"/>
      <c r="O389" s="1119">
        <f t="shared" si="66"/>
        <v>0</v>
      </c>
      <c r="P389" s="1119">
        <f t="shared" si="65"/>
        <v>0</v>
      </c>
      <c r="Q389" s="1119">
        <f t="shared" si="65"/>
        <v>0</v>
      </c>
      <c r="R389" s="1119">
        <f t="shared" si="65"/>
        <v>0</v>
      </c>
      <c r="S389" s="1119">
        <f t="shared" si="65"/>
        <v>0</v>
      </c>
      <c r="T389" s="1119">
        <f t="shared" si="65"/>
        <v>0</v>
      </c>
      <c r="U389" s="1119">
        <f t="shared" si="65"/>
        <v>0</v>
      </c>
      <c r="V389" s="1119">
        <f t="shared" si="65"/>
        <v>0</v>
      </c>
      <c r="W389" s="1119">
        <f t="shared" si="65"/>
        <v>0</v>
      </c>
      <c r="X389" s="978"/>
      <c r="Y389" s="1120">
        <f t="shared" si="60"/>
        <v>0</v>
      </c>
      <c r="Z389" s="1354"/>
      <c r="AA389" s="1001">
        <v>0</v>
      </c>
      <c r="AB389" s="978"/>
      <c r="AC389" s="1036">
        <f t="shared" si="61"/>
        <v>0</v>
      </c>
      <c r="AD389" s="783">
        <f t="shared" si="62"/>
        <v>0</v>
      </c>
      <c r="AE389" s="1321"/>
      <c r="AF389" s="1322"/>
      <c r="AG389" s="740"/>
    </row>
    <row r="390" spans="1:33">
      <c r="A390" s="96">
        <v>301051</v>
      </c>
      <c r="B390" s="1286" t="s">
        <v>226</v>
      </c>
      <c r="C390" s="782">
        <f>'TAR_Tab 2_Volumina'!N393</f>
        <v>0</v>
      </c>
      <c r="D390" s="976"/>
      <c r="E390" s="1318">
        <v>0</v>
      </c>
      <c r="F390" s="1116">
        <f t="shared" si="56"/>
        <v>0</v>
      </c>
      <c r="G390" s="1116">
        <f t="shared" si="57"/>
        <v>0</v>
      </c>
      <c r="H390" s="976"/>
      <c r="I390" s="1117">
        <f t="shared" si="64"/>
        <v>0</v>
      </c>
      <c r="J390" s="1117">
        <f t="shared" si="64"/>
        <v>0</v>
      </c>
      <c r="K390" s="1320"/>
      <c r="L390" s="1000" t="str">
        <f t="shared" si="58"/>
        <v/>
      </c>
      <c r="M390" s="1118">
        <f t="shared" si="59"/>
        <v>0</v>
      </c>
      <c r="N390" s="976"/>
      <c r="O390" s="1119">
        <f t="shared" si="66"/>
        <v>0</v>
      </c>
      <c r="P390" s="1119">
        <f t="shared" si="65"/>
        <v>0</v>
      </c>
      <c r="Q390" s="1119">
        <f t="shared" si="65"/>
        <v>0</v>
      </c>
      <c r="R390" s="1119">
        <f t="shared" si="65"/>
        <v>0</v>
      </c>
      <c r="S390" s="1119">
        <f t="shared" si="65"/>
        <v>0</v>
      </c>
      <c r="T390" s="1119">
        <f t="shared" si="65"/>
        <v>0</v>
      </c>
      <c r="U390" s="1119">
        <f t="shared" si="65"/>
        <v>0</v>
      </c>
      <c r="V390" s="1119">
        <f t="shared" si="65"/>
        <v>0</v>
      </c>
      <c r="W390" s="1119">
        <f t="shared" si="65"/>
        <v>0</v>
      </c>
      <c r="X390" s="978"/>
      <c r="Y390" s="1120">
        <f t="shared" si="60"/>
        <v>0</v>
      </c>
      <c r="Z390" s="1354"/>
      <c r="AA390" s="1001">
        <v>0</v>
      </c>
      <c r="AB390" s="978"/>
      <c r="AC390" s="1036">
        <f t="shared" si="61"/>
        <v>0</v>
      </c>
      <c r="AD390" s="783">
        <f t="shared" si="62"/>
        <v>0</v>
      </c>
      <c r="AE390" s="1321"/>
      <c r="AF390" s="1322"/>
      <c r="AG390" s="740"/>
    </row>
    <row r="391" spans="1:33">
      <c r="A391" s="96">
        <v>301052</v>
      </c>
      <c r="B391" s="1286" t="s">
        <v>316</v>
      </c>
      <c r="C391" s="782">
        <f>'TAR_Tab 2_Volumina'!N394</f>
        <v>1</v>
      </c>
      <c r="D391" s="976"/>
      <c r="E391" s="1318">
        <v>35722.02781136518</v>
      </c>
      <c r="F391" s="1116">
        <f t="shared" ref="F391:F454" si="67">E391*$F$5*C391</f>
        <v>33993.081665295103</v>
      </c>
      <c r="G391" s="1116">
        <f t="shared" ref="G391:G454" si="68">F391*$G$5</f>
        <v>34787.534164485827</v>
      </c>
      <c r="H391" s="976"/>
      <c r="I391" s="1117">
        <f t="shared" si="64"/>
        <v>33048.157456261535</v>
      </c>
      <c r="J391" s="1117">
        <f t="shared" si="64"/>
        <v>36526.910872710119</v>
      </c>
      <c r="K391" s="1320"/>
      <c r="L391" s="1000" t="str">
        <f t="shared" si="58"/>
        <v/>
      </c>
      <c r="M391" s="1118">
        <f t="shared" si="59"/>
        <v>34787.534164485827</v>
      </c>
      <c r="N391" s="976"/>
      <c r="O391" s="1119">
        <f t="shared" si="66"/>
        <v>-1613.3713496037913</v>
      </c>
      <c r="P391" s="1119">
        <f t="shared" si="65"/>
        <v>1669.4094408962371</v>
      </c>
      <c r="Q391" s="1119">
        <f t="shared" si="65"/>
        <v>0</v>
      </c>
      <c r="R391" s="1119">
        <f t="shared" si="65"/>
        <v>62.89083051203594</v>
      </c>
      <c r="S391" s="1119">
        <f t="shared" si="65"/>
        <v>1456.5396964682793</v>
      </c>
      <c r="T391" s="1119">
        <f t="shared" si="65"/>
        <v>-190.61821729297034</v>
      </c>
      <c r="U391" s="1119">
        <f t="shared" si="65"/>
        <v>-7.1712725559572243</v>
      </c>
      <c r="V391" s="1119">
        <f t="shared" si="65"/>
        <v>-592.93851547629686</v>
      </c>
      <c r="W391" s="1119">
        <f t="shared" si="65"/>
        <v>46.784885820729031</v>
      </c>
      <c r="X391" s="978"/>
      <c r="Y391" s="1120">
        <f t="shared" si="60"/>
        <v>35619.059663254091</v>
      </c>
      <c r="Z391" s="1354"/>
      <c r="AA391" s="1001">
        <v>0.25935427196059707</v>
      </c>
      <c r="AB391" s="978"/>
      <c r="AC391" s="1036">
        <f t="shared" si="61"/>
        <v>0.25935427196059707</v>
      </c>
      <c r="AD391" s="783">
        <f t="shared" si="62"/>
        <v>0.25900000000000001</v>
      </c>
      <c r="AE391" s="1321"/>
      <c r="AF391" s="1322"/>
      <c r="AG391" s="740"/>
    </row>
    <row r="392" spans="1:33">
      <c r="A392" s="96">
        <v>301054</v>
      </c>
      <c r="B392" s="1286" t="s">
        <v>317</v>
      </c>
      <c r="C392" s="782">
        <f>'TAR_Tab 2_Volumina'!N395</f>
        <v>1</v>
      </c>
      <c r="D392" s="976"/>
      <c r="E392" s="1318">
        <v>35722.02781136518</v>
      </c>
      <c r="F392" s="1116">
        <f t="shared" si="67"/>
        <v>33993.081665295103</v>
      </c>
      <c r="G392" s="1116">
        <f t="shared" si="68"/>
        <v>34787.534164485827</v>
      </c>
      <c r="H392" s="976"/>
      <c r="I392" s="1117">
        <f t="shared" si="64"/>
        <v>33048.157456261535</v>
      </c>
      <c r="J392" s="1117">
        <f t="shared" si="64"/>
        <v>36526.910872710119</v>
      </c>
      <c r="K392" s="1320"/>
      <c r="L392" s="1000" t="str">
        <f t="shared" ref="L392:L455" si="69">IF(K392&gt;0,AND(K392&gt;=I392,K392&lt;=J392),"")</f>
        <v/>
      </c>
      <c r="M392" s="1118">
        <f t="shared" ref="M392:M455" si="70">IF(K392&gt;0,K392,G392)</f>
        <v>34787.534164485827</v>
      </c>
      <c r="N392" s="976"/>
      <c r="O392" s="1119">
        <f t="shared" si="66"/>
        <v>-1613.3713496037913</v>
      </c>
      <c r="P392" s="1119">
        <f t="shared" si="65"/>
        <v>1669.4094408962371</v>
      </c>
      <c r="Q392" s="1119">
        <f t="shared" si="65"/>
        <v>0</v>
      </c>
      <c r="R392" s="1119">
        <f t="shared" si="65"/>
        <v>62.89083051203594</v>
      </c>
      <c r="S392" s="1119">
        <f t="shared" si="65"/>
        <v>1456.5396964682793</v>
      </c>
      <c r="T392" s="1119">
        <f t="shared" si="65"/>
        <v>-190.61821729297034</v>
      </c>
      <c r="U392" s="1119">
        <f t="shared" si="65"/>
        <v>-7.1712725559572243</v>
      </c>
      <c r="V392" s="1119">
        <f t="shared" si="65"/>
        <v>-592.93851547629686</v>
      </c>
      <c r="W392" s="1119">
        <f t="shared" si="65"/>
        <v>46.784885820729031</v>
      </c>
      <c r="X392" s="978"/>
      <c r="Y392" s="1120">
        <f t="shared" ref="Y392:Y455" si="71">M392+SUM(O392:W392)</f>
        <v>35619.059663254091</v>
      </c>
      <c r="Z392" s="1354"/>
      <c r="AA392" s="1001">
        <v>0.42816533241445115</v>
      </c>
      <c r="AB392" s="978"/>
      <c r="AC392" s="1036">
        <f t="shared" ref="AC392:AC455" si="72">AA392</f>
        <v>0.42816533241445115</v>
      </c>
      <c r="AD392" s="783">
        <f t="shared" ref="AD392:AD455" si="73">ROUND(AC392,3)</f>
        <v>0.42799999999999999</v>
      </c>
      <c r="AE392" s="1321"/>
      <c r="AF392" s="1322"/>
      <c r="AG392" s="740"/>
    </row>
    <row r="393" spans="1:33">
      <c r="A393" s="96">
        <v>301056</v>
      </c>
      <c r="B393" s="1286" t="s">
        <v>227</v>
      </c>
      <c r="C393" s="782">
        <f>'TAR_Tab 2_Volumina'!N396</f>
        <v>1</v>
      </c>
      <c r="D393" s="976"/>
      <c r="E393" s="1318">
        <v>17861.01390568259</v>
      </c>
      <c r="F393" s="1116">
        <f t="shared" si="67"/>
        <v>16996.540832647552</v>
      </c>
      <c r="G393" s="1116">
        <f t="shared" si="68"/>
        <v>17393.767082242914</v>
      </c>
      <c r="H393" s="976"/>
      <c r="I393" s="1117">
        <f t="shared" si="64"/>
        <v>16524.078728130768</v>
      </c>
      <c r="J393" s="1117">
        <f t="shared" si="64"/>
        <v>18263.45543635506</v>
      </c>
      <c r="K393" s="1320"/>
      <c r="L393" s="1000" t="str">
        <f t="shared" si="69"/>
        <v/>
      </c>
      <c r="M393" s="1118">
        <f t="shared" si="70"/>
        <v>17393.767082242914</v>
      </c>
      <c r="N393" s="976"/>
      <c r="O393" s="1119">
        <f t="shared" si="66"/>
        <v>-806.68567480189563</v>
      </c>
      <c r="P393" s="1119">
        <f t="shared" si="65"/>
        <v>834.70472044811856</v>
      </c>
      <c r="Q393" s="1119">
        <f t="shared" si="65"/>
        <v>0</v>
      </c>
      <c r="R393" s="1119">
        <f t="shared" ref="P393:W425" si="74">$M393*R$5</f>
        <v>31.44541525601797</v>
      </c>
      <c r="S393" s="1119">
        <f t="shared" si="74"/>
        <v>728.26984823413966</v>
      </c>
      <c r="T393" s="1119">
        <f t="shared" si="74"/>
        <v>-95.309108646485171</v>
      </c>
      <c r="U393" s="1119">
        <f t="shared" si="74"/>
        <v>-3.5856362779786122</v>
      </c>
      <c r="V393" s="1119">
        <f t="shared" si="74"/>
        <v>-296.46925773814843</v>
      </c>
      <c r="W393" s="1119">
        <f t="shared" si="74"/>
        <v>23.392442910364515</v>
      </c>
      <c r="X393" s="978"/>
      <c r="Y393" s="1120">
        <f t="shared" si="71"/>
        <v>17809.529831627045</v>
      </c>
      <c r="Z393" s="1354"/>
      <c r="AA393" s="1001">
        <v>5.7938659991221275E-2</v>
      </c>
      <c r="AB393" s="978"/>
      <c r="AC393" s="1036">
        <f t="shared" si="72"/>
        <v>5.7938659991221275E-2</v>
      </c>
      <c r="AD393" s="783">
        <f t="shared" si="73"/>
        <v>5.8000000000000003E-2</v>
      </c>
      <c r="AE393" s="1321"/>
      <c r="AF393" s="1322"/>
      <c r="AG393" s="740"/>
    </row>
    <row r="394" spans="1:33">
      <c r="A394" s="96">
        <v>301059</v>
      </c>
      <c r="B394" s="1286" t="s">
        <v>228</v>
      </c>
      <c r="C394" s="782">
        <f>'TAR_Tab 2_Volumina'!N397</f>
        <v>1</v>
      </c>
      <c r="D394" s="976"/>
      <c r="E394" s="1318">
        <v>17861.01390568259</v>
      </c>
      <c r="F394" s="1116">
        <f t="shared" si="67"/>
        <v>16996.540832647552</v>
      </c>
      <c r="G394" s="1116">
        <f t="shared" si="68"/>
        <v>17393.767082242914</v>
      </c>
      <c r="H394" s="976"/>
      <c r="I394" s="1117">
        <f t="shared" si="64"/>
        <v>16524.078728130768</v>
      </c>
      <c r="J394" s="1117">
        <f t="shared" si="64"/>
        <v>18263.45543635506</v>
      </c>
      <c r="K394" s="1320"/>
      <c r="L394" s="1000" t="str">
        <f t="shared" si="69"/>
        <v/>
      </c>
      <c r="M394" s="1118">
        <f t="shared" si="70"/>
        <v>17393.767082242914</v>
      </c>
      <c r="N394" s="976"/>
      <c r="O394" s="1119">
        <f t="shared" si="66"/>
        <v>-806.68567480189563</v>
      </c>
      <c r="P394" s="1119">
        <f t="shared" si="74"/>
        <v>834.70472044811856</v>
      </c>
      <c r="Q394" s="1119">
        <f t="shared" si="74"/>
        <v>0</v>
      </c>
      <c r="R394" s="1119">
        <f t="shared" si="74"/>
        <v>31.44541525601797</v>
      </c>
      <c r="S394" s="1119">
        <f t="shared" si="74"/>
        <v>728.26984823413966</v>
      </c>
      <c r="T394" s="1119">
        <f t="shared" si="74"/>
        <v>-95.309108646485171</v>
      </c>
      <c r="U394" s="1119">
        <f t="shared" si="74"/>
        <v>-3.5856362779786122</v>
      </c>
      <c r="V394" s="1119">
        <f t="shared" si="74"/>
        <v>-296.46925773814843</v>
      </c>
      <c r="W394" s="1119">
        <f t="shared" si="74"/>
        <v>23.392442910364515</v>
      </c>
      <c r="X394" s="978"/>
      <c r="Y394" s="1120">
        <f t="shared" si="71"/>
        <v>17809.529831627045</v>
      </c>
      <c r="Z394" s="1354"/>
      <c r="AA394" s="1001">
        <v>1.8123174639291777</v>
      </c>
      <c r="AB394" s="978"/>
      <c r="AC394" s="1036">
        <f t="shared" si="72"/>
        <v>1.8123174639291777</v>
      </c>
      <c r="AD394" s="783">
        <f t="shared" si="73"/>
        <v>1.8120000000000001</v>
      </c>
      <c r="AE394" s="1321"/>
      <c r="AF394" s="1322"/>
      <c r="AG394" s="740"/>
    </row>
    <row r="395" spans="1:33">
      <c r="A395" s="96">
        <v>301060</v>
      </c>
      <c r="B395" s="1286" t="s">
        <v>822</v>
      </c>
      <c r="C395" s="782">
        <f>'TAR_Tab 2_Volumina'!N398</f>
        <v>0</v>
      </c>
      <c r="D395" s="976"/>
      <c r="E395" s="1318">
        <v>0</v>
      </c>
      <c r="F395" s="1116">
        <f t="shared" si="67"/>
        <v>0</v>
      </c>
      <c r="G395" s="1116">
        <f t="shared" si="68"/>
        <v>0</v>
      </c>
      <c r="H395" s="976"/>
      <c r="I395" s="1117">
        <f t="shared" si="64"/>
        <v>0</v>
      </c>
      <c r="J395" s="1117">
        <f t="shared" si="64"/>
        <v>0</v>
      </c>
      <c r="K395" s="1320"/>
      <c r="L395" s="1000" t="str">
        <f t="shared" si="69"/>
        <v/>
      </c>
      <c r="M395" s="1118">
        <f t="shared" si="70"/>
        <v>0</v>
      </c>
      <c r="N395" s="976"/>
      <c r="O395" s="1119">
        <f t="shared" si="66"/>
        <v>0</v>
      </c>
      <c r="P395" s="1119">
        <f t="shared" si="74"/>
        <v>0</v>
      </c>
      <c r="Q395" s="1119">
        <f t="shared" si="74"/>
        <v>0</v>
      </c>
      <c r="R395" s="1119">
        <f t="shared" si="74"/>
        <v>0</v>
      </c>
      <c r="S395" s="1119">
        <f t="shared" si="74"/>
        <v>0</v>
      </c>
      <c r="T395" s="1119">
        <f t="shared" si="74"/>
        <v>0</v>
      </c>
      <c r="U395" s="1119">
        <f t="shared" si="74"/>
        <v>0</v>
      </c>
      <c r="V395" s="1119">
        <f t="shared" si="74"/>
        <v>0</v>
      </c>
      <c r="W395" s="1119">
        <f t="shared" si="74"/>
        <v>0</v>
      </c>
      <c r="X395" s="978"/>
      <c r="Y395" s="1120">
        <f t="shared" si="71"/>
        <v>0</v>
      </c>
      <c r="Z395" s="1354"/>
      <c r="AA395" s="1001">
        <v>0</v>
      </c>
      <c r="AB395" s="978"/>
      <c r="AC395" s="1036">
        <f t="shared" si="72"/>
        <v>0</v>
      </c>
      <c r="AD395" s="783">
        <f t="shared" si="73"/>
        <v>0</v>
      </c>
      <c r="AE395" s="1321"/>
      <c r="AF395" s="1322"/>
      <c r="AG395" s="740"/>
    </row>
    <row r="396" spans="1:33">
      <c r="A396" s="96">
        <v>301063</v>
      </c>
      <c r="B396" s="1286" t="s">
        <v>229</v>
      </c>
      <c r="C396" s="782">
        <f>'TAR_Tab 2_Volumina'!N399</f>
        <v>0</v>
      </c>
      <c r="D396" s="976"/>
      <c r="E396" s="1318">
        <v>0</v>
      </c>
      <c r="F396" s="1116">
        <f t="shared" si="67"/>
        <v>0</v>
      </c>
      <c r="G396" s="1116">
        <f t="shared" si="68"/>
        <v>0</v>
      </c>
      <c r="H396" s="976"/>
      <c r="I396" s="1117">
        <f t="shared" si="64"/>
        <v>0</v>
      </c>
      <c r="J396" s="1117">
        <f t="shared" si="64"/>
        <v>0</v>
      </c>
      <c r="K396" s="1320"/>
      <c r="L396" s="1000" t="str">
        <f t="shared" si="69"/>
        <v/>
      </c>
      <c r="M396" s="1118">
        <f t="shared" si="70"/>
        <v>0</v>
      </c>
      <c r="N396" s="976"/>
      <c r="O396" s="1119">
        <f t="shared" si="66"/>
        <v>0</v>
      </c>
      <c r="P396" s="1119">
        <f t="shared" si="74"/>
        <v>0</v>
      </c>
      <c r="Q396" s="1119">
        <f t="shared" si="74"/>
        <v>0</v>
      </c>
      <c r="R396" s="1119">
        <f t="shared" si="74"/>
        <v>0</v>
      </c>
      <c r="S396" s="1119">
        <f t="shared" si="74"/>
        <v>0</v>
      </c>
      <c r="T396" s="1119">
        <f t="shared" si="74"/>
        <v>0</v>
      </c>
      <c r="U396" s="1119">
        <f t="shared" si="74"/>
        <v>0</v>
      </c>
      <c r="V396" s="1119">
        <f t="shared" si="74"/>
        <v>0</v>
      </c>
      <c r="W396" s="1119">
        <f t="shared" si="74"/>
        <v>0</v>
      </c>
      <c r="X396" s="978"/>
      <c r="Y396" s="1120">
        <f t="shared" si="71"/>
        <v>0</v>
      </c>
      <c r="Z396" s="1354"/>
      <c r="AA396" s="1001">
        <v>0</v>
      </c>
      <c r="AB396" s="978"/>
      <c r="AC396" s="1036">
        <f t="shared" si="72"/>
        <v>0</v>
      </c>
      <c r="AD396" s="783">
        <f t="shared" si="73"/>
        <v>0</v>
      </c>
      <c r="AE396" s="1321"/>
      <c r="AF396" s="1322"/>
      <c r="AG396" s="740"/>
    </row>
    <row r="397" spans="1:33">
      <c r="A397" s="96">
        <v>301064</v>
      </c>
      <c r="B397" s="1286" t="s">
        <v>230</v>
      </c>
      <c r="C397" s="782">
        <f>'TAR_Tab 2_Volumina'!N400</f>
        <v>0</v>
      </c>
      <c r="D397" s="976"/>
      <c r="E397" s="1318">
        <v>0</v>
      </c>
      <c r="F397" s="1116">
        <f t="shared" si="67"/>
        <v>0</v>
      </c>
      <c r="G397" s="1116">
        <f t="shared" si="68"/>
        <v>0</v>
      </c>
      <c r="H397" s="976"/>
      <c r="I397" s="1117">
        <f t="shared" ref="I397:J460" si="75">$G397*I$5</f>
        <v>0</v>
      </c>
      <c r="J397" s="1117">
        <f t="shared" si="75"/>
        <v>0</v>
      </c>
      <c r="K397" s="1320"/>
      <c r="L397" s="1000" t="str">
        <f t="shared" si="69"/>
        <v/>
      </c>
      <c r="M397" s="1118">
        <f t="shared" si="70"/>
        <v>0</v>
      </c>
      <c r="N397" s="976"/>
      <c r="O397" s="1119">
        <f t="shared" si="66"/>
        <v>0</v>
      </c>
      <c r="P397" s="1119">
        <f t="shared" si="74"/>
        <v>0</v>
      </c>
      <c r="Q397" s="1119">
        <f t="shared" si="74"/>
        <v>0</v>
      </c>
      <c r="R397" s="1119">
        <f t="shared" si="74"/>
        <v>0</v>
      </c>
      <c r="S397" s="1119">
        <f t="shared" si="74"/>
        <v>0</v>
      </c>
      <c r="T397" s="1119">
        <f t="shared" si="74"/>
        <v>0</v>
      </c>
      <c r="U397" s="1119">
        <f t="shared" si="74"/>
        <v>0</v>
      </c>
      <c r="V397" s="1119">
        <f t="shared" si="74"/>
        <v>0</v>
      </c>
      <c r="W397" s="1119">
        <f t="shared" si="74"/>
        <v>0</v>
      </c>
      <c r="X397" s="978"/>
      <c r="Y397" s="1120">
        <f t="shared" si="71"/>
        <v>0</v>
      </c>
      <c r="Z397" s="1354"/>
      <c r="AA397" s="1001">
        <v>0</v>
      </c>
      <c r="AB397" s="978"/>
      <c r="AC397" s="1036">
        <f t="shared" si="72"/>
        <v>0</v>
      </c>
      <c r="AD397" s="783">
        <f t="shared" si="73"/>
        <v>0</v>
      </c>
      <c r="AE397" s="1321"/>
      <c r="AF397" s="1322"/>
      <c r="AG397" s="740"/>
    </row>
    <row r="398" spans="1:33">
      <c r="A398" s="96">
        <v>301065</v>
      </c>
      <c r="B398" s="1286" t="s">
        <v>823</v>
      </c>
      <c r="C398" s="782">
        <f>'TAR_Tab 2_Volumina'!N401</f>
        <v>0</v>
      </c>
      <c r="D398" s="976"/>
      <c r="E398" s="1318">
        <v>0</v>
      </c>
      <c r="F398" s="1116">
        <f t="shared" si="67"/>
        <v>0</v>
      </c>
      <c r="G398" s="1116">
        <f t="shared" si="68"/>
        <v>0</v>
      </c>
      <c r="H398" s="976"/>
      <c r="I398" s="1117">
        <f t="shared" si="75"/>
        <v>0</v>
      </c>
      <c r="J398" s="1117">
        <f t="shared" si="75"/>
        <v>0</v>
      </c>
      <c r="K398" s="1320"/>
      <c r="L398" s="1000" t="str">
        <f t="shared" si="69"/>
        <v/>
      </c>
      <c r="M398" s="1118">
        <f t="shared" si="70"/>
        <v>0</v>
      </c>
      <c r="N398" s="976"/>
      <c r="O398" s="1119">
        <f t="shared" si="66"/>
        <v>0</v>
      </c>
      <c r="P398" s="1119">
        <f t="shared" si="74"/>
        <v>0</v>
      </c>
      <c r="Q398" s="1119">
        <f t="shared" si="74"/>
        <v>0</v>
      </c>
      <c r="R398" s="1119">
        <f t="shared" si="74"/>
        <v>0</v>
      </c>
      <c r="S398" s="1119">
        <f t="shared" si="74"/>
        <v>0</v>
      </c>
      <c r="T398" s="1119">
        <f t="shared" si="74"/>
        <v>0</v>
      </c>
      <c r="U398" s="1119">
        <f t="shared" si="74"/>
        <v>0</v>
      </c>
      <c r="V398" s="1119">
        <f t="shared" si="74"/>
        <v>0</v>
      </c>
      <c r="W398" s="1119">
        <f t="shared" si="74"/>
        <v>0</v>
      </c>
      <c r="X398" s="978"/>
      <c r="Y398" s="1120">
        <f t="shared" si="71"/>
        <v>0</v>
      </c>
      <c r="Z398" s="1354"/>
      <c r="AA398" s="1001">
        <v>0</v>
      </c>
      <c r="AB398" s="978"/>
      <c r="AC398" s="1036">
        <f t="shared" si="72"/>
        <v>0</v>
      </c>
      <c r="AD398" s="783">
        <f t="shared" si="73"/>
        <v>0</v>
      </c>
      <c r="AE398" s="1321"/>
      <c r="AF398" s="1322"/>
      <c r="AG398" s="740"/>
    </row>
    <row r="399" spans="1:33">
      <c r="A399" s="96">
        <v>301080</v>
      </c>
      <c r="B399" s="1286" t="s">
        <v>433</v>
      </c>
      <c r="C399" s="782">
        <f>'TAR_Tab 2_Volumina'!N402</f>
        <v>0</v>
      </c>
      <c r="D399" s="976"/>
      <c r="E399" s="1318">
        <v>0</v>
      </c>
      <c r="F399" s="1116">
        <f t="shared" si="67"/>
        <v>0</v>
      </c>
      <c r="G399" s="1116">
        <f t="shared" si="68"/>
        <v>0</v>
      </c>
      <c r="H399" s="976"/>
      <c r="I399" s="1117">
        <f t="shared" si="75"/>
        <v>0</v>
      </c>
      <c r="J399" s="1117">
        <f t="shared" si="75"/>
        <v>0</v>
      </c>
      <c r="K399" s="1320"/>
      <c r="L399" s="1000" t="str">
        <f t="shared" si="69"/>
        <v/>
      </c>
      <c r="M399" s="1118">
        <f t="shared" si="70"/>
        <v>0</v>
      </c>
      <c r="N399" s="976"/>
      <c r="O399" s="1119">
        <f t="shared" si="66"/>
        <v>0</v>
      </c>
      <c r="P399" s="1119">
        <f t="shared" si="74"/>
        <v>0</v>
      </c>
      <c r="Q399" s="1119">
        <f t="shared" si="74"/>
        <v>0</v>
      </c>
      <c r="R399" s="1119">
        <f t="shared" si="74"/>
        <v>0</v>
      </c>
      <c r="S399" s="1119">
        <f t="shared" si="74"/>
        <v>0</v>
      </c>
      <c r="T399" s="1119">
        <f t="shared" si="74"/>
        <v>0</v>
      </c>
      <c r="U399" s="1119">
        <f t="shared" si="74"/>
        <v>0</v>
      </c>
      <c r="V399" s="1119">
        <f t="shared" si="74"/>
        <v>0</v>
      </c>
      <c r="W399" s="1119">
        <f t="shared" si="74"/>
        <v>0</v>
      </c>
      <c r="X399" s="978"/>
      <c r="Y399" s="1120">
        <f t="shared" si="71"/>
        <v>0</v>
      </c>
      <c r="Z399" s="1354"/>
      <c r="AA399" s="1001">
        <v>0</v>
      </c>
      <c r="AB399" s="978"/>
      <c r="AC399" s="1036">
        <f t="shared" si="72"/>
        <v>0</v>
      </c>
      <c r="AD399" s="783">
        <f t="shared" si="73"/>
        <v>0</v>
      </c>
      <c r="AE399" s="1321"/>
      <c r="AF399" s="1322"/>
      <c r="AG399" s="740"/>
    </row>
    <row r="400" spans="1:33">
      <c r="A400" s="96">
        <v>301097</v>
      </c>
      <c r="B400" s="1286" t="s">
        <v>440</v>
      </c>
      <c r="C400" s="782">
        <f>'TAR_Tab 2_Volumina'!N403</f>
        <v>0</v>
      </c>
      <c r="D400" s="976"/>
      <c r="E400" s="1318">
        <v>0</v>
      </c>
      <c r="F400" s="1116">
        <f t="shared" si="67"/>
        <v>0</v>
      </c>
      <c r="G400" s="1116">
        <f t="shared" si="68"/>
        <v>0</v>
      </c>
      <c r="H400" s="976"/>
      <c r="I400" s="1117">
        <f t="shared" si="75"/>
        <v>0</v>
      </c>
      <c r="J400" s="1117">
        <f t="shared" si="75"/>
        <v>0</v>
      </c>
      <c r="K400" s="1320"/>
      <c r="L400" s="1000" t="str">
        <f t="shared" si="69"/>
        <v/>
      </c>
      <c r="M400" s="1118">
        <f t="shared" si="70"/>
        <v>0</v>
      </c>
      <c r="N400" s="976"/>
      <c r="O400" s="1119">
        <f t="shared" si="66"/>
        <v>0</v>
      </c>
      <c r="P400" s="1119">
        <f t="shared" si="74"/>
        <v>0</v>
      </c>
      <c r="Q400" s="1119">
        <f t="shared" si="74"/>
        <v>0</v>
      </c>
      <c r="R400" s="1119">
        <f t="shared" si="74"/>
        <v>0</v>
      </c>
      <c r="S400" s="1119">
        <f t="shared" si="74"/>
        <v>0</v>
      </c>
      <c r="T400" s="1119">
        <f t="shared" si="74"/>
        <v>0</v>
      </c>
      <c r="U400" s="1119">
        <f t="shared" si="74"/>
        <v>0</v>
      </c>
      <c r="V400" s="1119">
        <f t="shared" si="74"/>
        <v>0</v>
      </c>
      <c r="W400" s="1119">
        <f t="shared" si="74"/>
        <v>0</v>
      </c>
      <c r="X400" s="978"/>
      <c r="Y400" s="1120">
        <f t="shared" si="71"/>
        <v>0</v>
      </c>
      <c r="Z400" s="1354"/>
      <c r="AA400" s="1001">
        <v>0</v>
      </c>
      <c r="AB400" s="978"/>
      <c r="AC400" s="1036">
        <f t="shared" si="72"/>
        <v>0</v>
      </c>
      <c r="AD400" s="783">
        <f t="shared" si="73"/>
        <v>0</v>
      </c>
      <c r="AE400" s="1321"/>
      <c r="AF400" s="1322"/>
      <c r="AG400" s="740"/>
    </row>
    <row r="401" spans="1:33">
      <c r="A401" s="96">
        <v>301111</v>
      </c>
      <c r="B401" s="1286" t="s">
        <v>45</v>
      </c>
      <c r="C401" s="782">
        <f>'TAR_Tab 2_Volumina'!N404</f>
        <v>0</v>
      </c>
      <c r="D401" s="976"/>
      <c r="E401" s="1318">
        <v>0</v>
      </c>
      <c r="F401" s="1116">
        <f t="shared" si="67"/>
        <v>0</v>
      </c>
      <c r="G401" s="1116">
        <f t="shared" si="68"/>
        <v>0</v>
      </c>
      <c r="H401" s="976"/>
      <c r="I401" s="1117">
        <f t="shared" si="75"/>
        <v>0</v>
      </c>
      <c r="J401" s="1117">
        <f t="shared" si="75"/>
        <v>0</v>
      </c>
      <c r="K401" s="1320"/>
      <c r="L401" s="1000" t="str">
        <f t="shared" si="69"/>
        <v/>
      </c>
      <c r="M401" s="1118">
        <f t="shared" si="70"/>
        <v>0</v>
      </c>
      <c r="N401" s="976"/>
      <c r="O401" s="1119">
        <f t="shared" si="66"/>
        <v>0</v>
      </c>
      <c r="P401" s="1119">
        <f t="shared" si="74"/>
        <v>0</v>
      </c>
      <c r="Q401" s="1119">
        <f t="shared" si="74"/>
        <v>0</v>
      </c>
      <c r="R401" s="1119">
        <f t="shared" si="74"/>
        <v>0</v>
      </c>
      <c r="S401" s="1119">
        <f t="shared" si="74"/>
        <v>0</v>
      </c>
      <c r="T401" s="1119">
        <f t="shared" si="74"/>
        <v>0</v>
      </c>
      <c r="U401" s="1119">
        <f t="shared" si="74"/>
        <v>0</v>
      </c>
      <c r="V401" s="1119">
        <f t="shared" si="74"/>
        <v>0</v>
      </c>
      <c r="W401" s="1119">
        <f t="shared" si="74"/>
        <v>0</v>
      </c>
      <c r="X401" s="978"/>
      <c r="Y401" s="1120">
        <f t="shared" si="71"/>
        <v>0</v>
      </c>
      <c r="Z401" s="1354"/>
      <c r="AA401" s="1001">
        <v>0</v>
      </c>
      <c r="AB401" s="978"/>
      <c r="AC401" s="1036">
        <f t="shared" si="72"/>
        <v>0</v>
      </c>
      <c r="AD401" s="783">
        <f t="shared" si="73"/>
        <v>0</v>
      </c>
      <c r="AE401" s="1321"/>
      <c r="AF401" s="1322"/>
      <c r="AG401" s="740"/>
    </row>
    <row r="402" spans="1:33">
      <c r="A402" s="96">
        <v>301113</v>
      </c>
      <c r="B402" s="1286" t="s">
        <v>445</v>
      </c>
      <c r="C402" s="782">
        <f>'TAR_Tab 2_Volumina'!N405</f>
        <v>0</v>
      </c>
      <c r="D402" s="976"/>
      <c r="E402" s="1318">
        <v>0</v>
      </c>
      <c r="F402" s="1116">
        <f t="shared" si="67"/>
        <v>0</v>
      </c>
      <c r="G402" s="1116">
        <f t="shared" si="68"/>
        <v>0</v>
      </c>
      <c r="H402" s="976"/>
      <c r="I402" s="1117">
        <f t="shared" si="75"/>
        <v>0</v>
      </c>
      <c r="J402" s="1117">
        <f t="shared" si="75"/>
        <v>0</v>
      </c>
      <c r="K402" s="1320"/>
      <c r="L402" s="1000" t="str">
        <f t="shared" si="69"/>
        <v/>
      </c>
      <c r="M402" s="1118">
        <f t="shared" si="70"/>
        <v>0</v>
      </c>
      <c r="N402" s="976"/>
      <c r="O402" s="1119">
        <f t="shared" si="66"/>
        <v>0</v>
      </c>
      <c r="P402" s="1119">
        <f t="shared" si="74"/>
        <v>0</v>
      </c>
      <c r="Q402" s="1119">
        <f t="shared" si="74"/>
        <v>0</v>
      </c>
      <c r="R402" s="1119">
        <f t="shared" si="74"/>
        <v>0</v>
      </c>
      <c r="S402" s="1119">
        <f t="shared" si="74"/>
        <v>0</v>
      </c>
      <c r="T402" s="1119">
        <f t="shared" si="74"/>
        <v>0</v>
      </c>
      <c r="U402" s="1119">
        <f t="shared" si="74"/>
        <v>0</v>
      </c>
      <c r="V402" s="1119">
        <f t="shared" si="74"/>
        <v>0</v>
      </c>
      <c r="W402" s="1119">
        <f t="shared" si="74"/>
        <v>0</v>
      </c>
      <c r="X402" s="978"/>
      <c r="Y402" s="1120">
        <f t="shared" si="71"/>
        <v>0</v>
      </c>
      <c r="Z402" s="1354"/>
      <c r="AA402" s="1001">
        <v>0</v>
      </c>
      <c r="AB402" s="978"/>
      <c r="AC402" s="1036">
        <f t="shared" si="72"/>
        <v>0</v>
      </c>
      <c r="AD402" s="783">
        <f t="shared" si="73"/>
        <v>0</v>
      </c>
      <c r="AE402" s="1321"/>
      <c r="AF402" s="1322"/>
      <c r="AG402" s="740"/>
    </row>
    <row r="403" spans="1:33">
      <c r="A403" s="96">
        <v>301114</v>
      </c>
      <c r="B403" s="1286" t="s">
        <v>318</v>
      </c>
      <c r="C403" s="782">
        <f>'TAR_Tab 2_Volumina'!N406</f>
        <v>0</v>
      </c>
      <c r="D403" s="976"/>
      <c r="E403" s="1318">
        <v>0</v>
      </c>
      <c r="F403" s="1116">
        <f t="shared" si="67"/>
        <v>0</v>
      </c>
      <c r="G403" s="1116">
        <f t="shared" si="68"/>
        <v>0</v>
      </c>
      <c r="H403" s="976"/>
      <c r="I403" s="1117">
        <f t="shared" si="75"/>
        <v>0</v>
      </c>
      <c r="J403" s="1117">
        <f t="shared" si="75"/>
        <v>0</v>
      </c>
      <c r="K403" s="1320"/>
      <c r="L403" s="1000" t="str">
        <f t="shared" si="69"/>
        <v/>
      </c>
      <c r="M403" s="1118">
        <f t="shared" si="70"/>
        <v>0</v>
      </c>
      <c r="N403" s="976"/>
      <c r="O403" s="1119">
        <f t="shared" si="66"/>
        <v>0</v>
      </c>
      <c r="P403" s="1119">
        <f t="shared" si="74"/>
        <v>0</v>
      </c>
      <c r="Q403" s="1119">
        <f t="shared" si="74"/>
        <v>0</v>
      </c>
      <c r="R403" s="1119">
        <f t="shared" si="74"/>
        <v>0</v>
      </c>
      <c r="S403" s="1119">
        <f t="shared" si="74"/>
        <v>0</v>
      </c>
      <c r="T403" s="1119">
        <f t="shared" si="74"/>
        <v>0</v>
      </c>
      <c r="U403" s="1119">
        <f t="shared" si="74"/>
        <v>0</v>
      </c>
      <c r="V403" s="1119">
        <f t="shared" si="74"/>
        <v>0</v>
      </c>
      <c r="W403" s="1119">
        <f t="shared" si="74"/>
        <v>0</v>
      </c>
      <c r="X403" s="978"/>
      <c r="Y403" s="1120">
        <f t="shared" si="71"/>
        <v>0</v>
      </c>
      <c r="Z403" s="1354"/>
      <c r="AA403" s="1001">
        <v>0</v>
      </c>
      <c r="AB403" s="978"/>
      <c r="AC403" s="1036">
        <f t="shared" si="72"/>
        <v>0</v>
      </c>
      <c r="AD403" s="783">
        <f t="shared" si="73"/>
        <v>0</v>
      </c>
      <c r="AE403" s="1321"/>
      <c r="AF403" s="1322"/>
      <c r="AG403" s="740"/>
    </row>
    <row r="404" spans="1:33">
      <c r="A404" s="96">
        <v>301116</v>
      </c>
      <c r="B404" s="1286" t="s">
        <v>319</v>
      </c>
      <c r="C404" s="782">
        <f>'TAR_Tab 2_Volumina'!N407</f>
        <v>0</v>
      </c>
      <c r="D404" s="976"/>
      <c r="E404" s="1318">
        <v>0</v>
      </c>
      <c r="F404" s="1116">
        <f t="shared" si="67"/>
        <v>0</v>
      </c>
      <c r="G404" s="1116">
        <f t="shared" si="68"/>
        <v>0</v>
      </c>
      <c r="H404" s="976"/>
      <c r="I404" s="1117">
        <f t="shared" si="75"/>
        <v>0</v>
      </c>
      <c r="J404" s="1117">
        <f t="shared" si="75"/>
        <v>0</v>
      </c>
      <c r="K404" s="1320"/>
      <c r="L404" s="1000" t="str">
        <f t="shared" si="69"/>
        <v/>
      </c>
      <c r="M404" s="1118">
        <f t="shared" si="70"/>
        <v>0</v>
      </c>
      <c r="N404" s="976"/>
      <c r="O404" s="1119">
        <f t="shared" si="66"/>
        <v>0</v>
      </c>
      <c r="P404" s="1119">
        <f t="shared" si="74"/>
        <v>0</v>
      </c>
      <c r="Q404" s="1119">
        <f t="shared" si="74"/>
        <v>0</v>
      </c>
      <c r="R404" s="1119">
        <f t="shared" si="74"/>
        <v>0</v>
      </c>
      <c r="S404" s="1119">
        <f t="shared" si="74"/>
        <v>0</v>
      </c>
      <c r="T404" s="1119">
        <f t="shared" si="74"/>
        <v>0</v>
      </c>
      <c r="U404" s="1119">
        <f t="shared" si="74"/>
        <v>0</v>
      </c>
      <c r="V404" s="1119">
        <f t="shared" si="74"/>
        <v>0</v>
      </c>
      <c r="W404" s="1119">
        <f t="shared" si="74"/>
        <v>0</v>
      </c>
      <c r="X404" s="978"/>
      <c r="Y404" s="1120">
        <f t="shared" si="71"/>
        <v>0</v>
      </c>
      <c r="Z404" s="1354"/>
      <c r="AA404" s="1001">
        <v>0</v>
      </c>
      <c r="AB404" s="978"/>
      <c r="AC404" s="1036">
        <f t="shared" si="72"/>
        <v>0</v>
      </c>
      <c r="AD404" s="783">
        <f t="shared" si="73"/>
        <v>0</v>
      </c>
      <c r="AE404" s="1321"/>
      <c r="AF404" s="1322"/>
      <c r="AG404" s="740"/>
    </row>
    <row r="405" spans="1:33">
      <c r="A405" s="96">
        <v>301118</v>
      </c>
      <c r="B405" s="1286" t="s">
        <v>231</v>
      </c>
      <c r="C405" s="782">
        <f>'TAR_Tab 2_Volumina'!N408</f>
        <v>0</v>
      </c>
      <c r="D405" s="976"/>
      <c r="E405" s="1318">
        <v>0</v>
      </c>
      <c r="F405" s="1116">
        <f t="shared" si="67"/>
        <v>0</v>
      </c>
      <c r="G405" s="1116">
        <f t="shared" si="68"/>
        <v>0</v>
      </c>
      <c r="H405" s="976"/>
      <c r="I405" s="1117">
        <f t="shared" si="75"/>
        <v>0</v>
      </c>
      <c r="J405" s="1117">
        <f t="shared" si="75"/>
        <v>0</v>
      </c>
      <c r="K405" s="1320"/>
      <c r="L405" s="1000" t="str">
        <f t="shared" si="69"/>
        <v/>
      </c>
      <c r="M405" s="1118">
        <f t="shared" si="70"/>
        <v>0</v>
      </c>
      <c r="N405" s="976"/>
      <c r="O405" s="1119">
        <f t="shared" si="66"/>
        <v>0</v>
      </c>
      <c r="P405" s="1119">
        <f t="shared" si="74"/>
        <v>0</v>
      </c>
      <c r="Q405" s="1119">
        <f t="shared" si="74"/>
        <v>0</v>
      </c>
      <c r="R405" s="1119">
        <f t="shared" si="74"/>
        <v>0</v>
      </c>
      <c r="S405" s="1119">
        <f t="shared" si="74"/>
        <v>0</v>
      </c>
      <c r="T405" s="1119">
        <f t="shared" si="74"/>
        <v>0</v>
      </c>
      <c r="U405" s="1119">
        <f t="shared" si="74"/>
        <v>0</v>
      </c>
      <c r="V405" s="1119">
        <f t="shared" si="74"/>
        <v>0</v>
      </c>
      <c r="W405" s="1119">
        <f t="shared" si="74"/>
        <v>0</v>
      </c>
      <c r="X405" s="978"/>
      <c r="Y405" s="1120">
        <f t="shared" si="71"/>
        <v>0</v>
      </c>
      <c r="Z405" s="1354"/>
      <c r="AA405" s="1001">
        <v>0</v>
      </c>
      <c r="AB405" s="978"/>
      <c r="AC405" s="1036">
        <f t="shared" si="72"/>
        <v>0</v>
      </c>
      <c r="AD405" s="783">
        <f t="shared" si="73"/>
        <v>0</v>
      </c>
      <c r="AE405" s="1321"/>
      <c r="AF405" s="1322"/>
      <c r="AG405" s="740"/>
    </row>
    <row r="406" spans="1:33">
      <c r="A406" s="96">
        <v>301120</v>
      </c>
      <c r="B406" s="1286" t="s">
        <v>46</v>
      </c>
      <c r="C406" s="782">
        <f>'TAR_Tab 2_Volumina'!N409</f>
        <v>0</v>
      </c>
      <c r="D406" s="976"/>
      <c r="E406" s="1318">
        <v>0</v>
      </c>
      <c r="F406" s="1116">
        <f t="shared" si="67"/>
        <v>0</v>
      </c>
      <c r="G406" s="1116">
        <f t="shared" si="68"/>
        <v>0</v>
      </c>
      <c r="H406" s="976"/>
      <c r="I406" s="1117">
        <f t="shared" si="75"/>
        <v>0</v>
      </c>
      <c r="J406" s="1117">
        <f t="shared" si="75"/>
        <v>0</v>
      </c>
      <c r="K406" s="1320"/>
      <c r="L406" s="1000" t="str">
        <f t="shared" si="69"/>
        <v/>
      </c>
      <c r="M406" s="1118">
        <f t="shared" si="70"/>
        <v>0</v>
      </c>
      <c r="N406" s="976"/>
      <c r="O406" s="1119">
        <f t="shared" si="66"/>
        <v>0</v>
      </c>
      <c r="P406" s="1119">
        <f t="shared" si="74"/>
        <v>0</v>
      </c>
      <c r="Q406" s="1119">
        <f t="shared" si="74"/>
        <v>0</v>
      </c>
      <c r="R406" s="1119">
        <f t="shared" si="74"/>
        <v>0</v>
      </c>
      <c r="S406" s="1119">
        <f t="shared" si="74"/>
        <v>0</v>
      </c>
      <c r="T406" s="1119">
        <f t="shared" si="74"/>
        <v>0</v>
      </c>
      <c r="U406" s="1119">
        <f t="shared" si="74"/>
        <v>0</v>
      </c>
      <c r="V406" s="1119">
        <f t="shared" si="74"/>
        <v>0</v>
      </c>
      <c r="W406" s="1119">
        <f t="shared" si="74"/>
        <v>0</v>
      </c>
      <c r="X406" s="978"/>
      <c r="Y406" s="1120">
        <f t="shared" si="71"/>
        <v>0</v>
      </c>
      <c r="Z406" s="1354"/>
      <c r="AA406" s="1001">
        <v>0</v>
      </c>
      <c r="AB406" s="978"/>
      <c r="AC406" s="1036">
        <f t="shared" si="72"/>
        <v>0</v>
      </c>
      <c r="AD406" s="783">
        <f t="shared" si="73"/>
        <v>0</v>
      </c>
      <c r="AE406" s="1321"/>
      <c r="AF406" s="1322"/>
      <c r="AG406" s="740"/>
    </row>
    <row r="407" spans="1:33">
      <c r="A407" s="96">
        <v>301122</v>
      </c>
      <c r="B407" s="1286" t="s">
        <v>320</v>
      </c>
      <c r="C407" s="782">
        <f>'TAR_Tab 2_Volumina'!N410</f>
        <v>0</v>
      </c>
      <c r="D407" s="976"/>
      <c r="E407" s="1318">
        <v>0</v>
      </c>
      <c r="F407" s="1116">
        <f t="shared" si="67"/>
        <v>0</v>
      </c>
      <c r="G407" s="1116">
        <f t="shared" si="68"/>
        <v>0</v>
      </c>
      <c r="H407" s="976"/>
      <c r="I407" s="1117">
        <f t="shared" si="75"/>
        <v>0</v>
      </c>
      <c r="J407" s="1117">
        <f t="shared" si="75"/>
        <v>0</v>
      </c>
      <c r="K407" s="1320"/>
      <c r="L407" s="1000" t="str">
        <f t="shared" si="69"/>
        <v/>
      </c>
      <c r="M407" s="1118">
        <f t="shared" si="70"/>
        <v>0</v>
      </c>
      <c r="N407" s="976"/>
      <c r="O407" s="1119">
        <f t="shared" si="66"/>
        <v>0</v>
      </c>
      <c r="P407" s="1119">
        <f t="shared" si="74"/>
        <v>0</v>
      </c>
      <c r="Q407" s="1119">
        <f t="shared" si="74"/>
        <v>0</v>
      </c>
      <c r="R407" s="1119">
        <f t="shared" si="74"/>
        <v>0</v>
      </c>
      <c r="S407" s="1119">
        <f t="shared" si="74"/>
        <v>0</v>
      </c>
      <c r="T407" s="1119">
        <f t="shared" si="74"/>
        <v>0</v>
      </c>
      <c r="U407" s="1119">
        <f t="shared" si="74"/>
        <v>0</v>
      </c>
      <c r="V407" s="1119">
        <f t="shared" si="74"/>
        <v>0</v>
      </c>
      <c r="W407" s="1119">
        <f t="shared" si="74"/>
        <v>0</v>
      </c>
      <c r="X407" s="978"/>
      <c r="Y407" s="1120">
        <f t="shared" si="71"/>
        <v>0</v>
      </c>
      <c r="Z407" s="1354"/>
      <c r="AA407" s="1001">
        <v>0</v>
      </c>
      <c r="AB407" s="978"/>
      <c r="AC407" s="1036">
        <f t="shared" si="72"/>
        <v>0</v>
      </c>
      <c r="AD407" s="783">
        <f t="shared" si="73"/>
        <v>0</v>
      </c>
      <c r="AE407" s="1321"/>
      <c r="AF407" s="1322"/>
      <c r="AG407" s="740"/>
    </row>
    <row r="408" spans="1:33">
      <c r="A408" s="96">
        <v>301129</v>
      </c>
      <c r="B408" s="1286" t="s">
        <v>321</v>
      </c>
      <c r="C408" s="782">
        <f>'TAR_Tab 2_Volumina'!N411</f>
        <v>1</v>
      </c>
      <c r="D408" s="976"/>
      <c r="E408" s="1318">
        <v>35722.02781136518</v>
      </c>
      <c r="F408" s="1116">
        <f t="shared" si="67"/>
        <v>33993.081665295103</v>
      </c>
      <c r="G408" s="1116">
        <f t="shared" si="68"/>
        <v>34787.534164485827</v>
      </c>
      <c r="H408" s="976"/>
      <c r="I408" s="1117">
        <f t="shared" si="75"/>
        <v>33048.157456261535</v>
      </c>
      <c r="J408" s="1117">
        <f t="shared" si="75"/>
        <v>36526.910872710119</v>
      </c>
      <c r="K408" s="1320"/>
      <c r="L408" s="1000" t="str">
        <f t="shared" si="69"/>
        <v/>
      </c>
      <c r="M408" s="1118">
        <f t="shared" si="70"/>
        <v>34787.534164485827</v>
      </c>
      <c r="N408" s="976"/>
      <c r="O408" s="1119">
        <f t="shared" si="66"/>
        <v>-1613.3713496037913</v>
      </c>
      <c r="P408" s="1119">
        <f t="shared" si="74"/>
        <v>1669.4094408962371</v>
      </c>
      <c r="Q408" s="1119">
        <f t="shared" si="74"/>
        <v>0</v>
      </c>
      <c r="R408" s="1119">
        <f t="shared" si="74"/>
        <v>62.89083051203594</v>
      </c>
      <c r="S408" s="1119">
        <f t="shared" si="74"/>
        <v>1456.5396964682793</v>
      </c>
      <c r="T408" s="1119">
        <f t="shared" si="74"/>
        <v>-190.61821729297034</v>
      </c>
      <c r="U408" s="1119">
        <f t="shared" si="74"/>
        <v>-7.1712725559572243</v>
      </c>
      <c r="V408" s="1119">
        <f t="shared" si="74"/>
        <v>-592.93851547629686</v>
      </c>
      <c r="W408" s="1119">
        <f t="shared" si="74"/>
        <v>46.784885820729031</v>
      </c>
      <c r="X408" s="978"/>
      <c r="Y408" s="1120">
        <f t="shared" si="71"/>
        <v>35619.059663254091</v>
      </c>
      <c r="Z408" s="1354"/>
      <c r="AA408" s="1001">
        <v>0.17699687159791455</v>
      </c>
      <c r="AB408" s="978"/>
      <c r="AC408" s="1036">
        <f t="shared" si="72"/>
        <v>0.17699687159791455</v>
      </c>
      <c r="AD408" s="783">
        <f t="shared" si="73"/>
        <v>0.17699999999999999</v>
      </c>
      <c r="AE408" s="1321"/>
      <c r="AF408" s="1322"/>
      <c r="AG408" s="740"/>
    </row>
    <row r="409" spans="1:33">
      <c r="A409" s="96">
        <v>301144</v>
      </c>
      <c r="B409" s="1286" t="s">
        <v>322</v>
      </c>
      <c r="C409" s="782">
        <f>'TAR_Tab 2_Volumina'!N412</f>
        <v>0</v>
      </c>
      <c r="D409" s="976"/>
      <c r="E409" s="1318">
        <v>0</v>
      </c>
      <c r="F409" s="1116">
        <f t="shared" si="67"/>
        <v>0</v>
      </c>
      <c r="G409" s="1116">
        <f t="shared" si="68"/>
        <v>0</v>
      </c>
      <c r="H409" s="976"/>
      <c r="I409" s="1117">
        <f t="shared" si="75"/>
        <v>0</v>
      </c>
      <c r="J409" s="1117">
        <f t="shared" si="75"/>
        <v>0</v>
      </c>
      <c r="K409" s="1320"/>
      <c r="L409" s="1000" t="str">
        <f t="shared" si="69"/>
        <v/>
      </c>
      <c r="M409" s="1118">
        <f t="shared" si="70"/>
        <v>0</v>
      </c>
      <c r="N409" s="976"/>
      <c r="O409" s="1119">
        <f t="shared" si="66"/>
        <v>0</v>
      </c>
      <c r="P409" s="1119">
        <f t="shared" si="74"/>
        <v>0</v>
      </c>
      <c r="Q409" s="1119">
        <f t="shared" si="74"/>
        <v>0</v>
      </c>
      <c r="R409" s="1119">
        <f t="shared" si="74"/>
        <v>0</v>
      </c>
      <c r="S409" s="1119">
        <f t="shared" si="74"/>
        <v>0</v>
      </c>
      <c r="T409" s="1119">
        <f t="shared" si="74"/>
        <v>0</v>
      </c>
      <c r="U409" s="1119">
        <f t="shared" si="74"/>
        <v>0</v>
      </c>
      <c r="V409" s="1119">
        <f t="shared" si="74"/>
        <v>0</v>
      </c>
      <c r="W409" s="1119">
        <f t="shared" si="74"/>
        <v>0</v>
      </c>
      <c r="X409" s="978"/>
      <c r="Y409" s="1120">
        <f t="shared" si="71"/>
        <v>0</v>
      </c>
      <c r="Z409" s="1354"/>
      <c r="AA409" s="1001">
        <v>0</v>
      </c>
      <c r="AB409" s="978"/>
      <c r="AC409" s="1036">
        <f t="shared" si="72"/>
        <v>0</v>
      </c>
      <c r="AD409" s="783">
        <f t="shared" si="73"/>
        <v>0</v>
      </c>
      <c r="AE409" s="1321"/>
      <c r="AF409" s="1322"/>
      <c r="AG409" s="740"/>
    </row>
    <row r="410" spans="1:33">
      <c r="A410" s="96">
        <v>301148</v>
      </c>
      <c r="B410" s="1286" t="s">
        <v>323</v>
      </c>
      <c r="C410" s="782">
        <f>'TAR_Tab 2_Volumina'!N413</f>
        <v>0</v>
      </c>
      <c r="D410" s="976"/>
      <c r="E410" s="1318">
        <v>0</v>
      </c>
      <c r="F410" s="1116">
        <f t="shared" si="67"/>
        <v>0</v>
      </c>
      <c r="G410" s="1116">
        <f t="shared" si="68"/>
        <v>0</v>
      </c>
      <c r="H410" s="976"/>
      <c r="I410" s="1117">
        <f t="shared" si="75"/>
        <v>0</v>
      </c>
      <c r="J410" s="1117">
        <f t="shared" si="75"/>
        <v>0</v>
      </c>
      <c r="K410" s="1320"/>
      <c r="L410" s="1000" t="str">
        <f t="shared" si="69"/>
        <v/>
      </c>
      <c r="M410" s="1118">
        <f t="shared" si="70"/>
        <v>0</v>
      </c>
      <c r="N410" s="976"/>
      <c r="O410" s="1119">
        <f t="shared" si="66"/>
        <v>0</v>
      </c>
      <c r="P410" s="1119">
        <f t="shared" si="74"/>
        <v>0</v>
      </c>
      <c r="Q410" s="1119">
        <f t="shared" si="74"/>
        <v>0</v>
      </c>
      <c r="R410" s="1119">
        <f t="shared" si="74"/>
        <v>0</v>
      </c>
      <c r="S410" s="1119">
        <f t="shared" si="74"/>
        <v>0</v>
      </c>
      <c r="T410" s="1119">
        <f t="shared" si="74"/>
        <v>0</v>
      </c>
      <c r="U410" s="1119">
        <f t="shared" si="74"/>
        <v>0</v>
      </c>
      <c r="V410" s="1119">
        <f t="shared" si="74"/>
        <v>0</v>
      </c>
      <c r="W410" s="1119">
        <f t="shared" si="74"/>
        <v>0</v>
      </c>
      <c r="X410" s="978"/>
      <c r="Y410" s="1120">
        <f t="shared" si="71"/>
        <v>0</v>
      </c>
      <c r="Z410" s="1354"/>
      <c r="AA410" s="1001">
        <v>0</v>
      </c>
      <c r="AB410" s="978"/>
      <c r="AC410" s="1036">
        <f t="shared" si="72"/>
        <v>0</v>
      </c>
      <c r="AD410" s="783">
        <f t="shared" si="73"/>
        <v>0</v>
      </c>
      <c r="AE410" s="1321"/>
      <c r="AF410" s="1322"/>
      <c r="AG410" s="740"/>
    </row>
    <row r="411" spans="1:33">
      <c r="A411" s="96">
        <v>301152</v>
      </c>
      <c r="B411" s="1286" t="s">
        <v>232</v>
      </c>
      <c r="C411" s="782">
        <f>'TAR_Tab 2_Volumina'!N414</f>
        <v>0</v>
      </c>
      <c r="D411" s="976"/>
      <c r="E411" s="1318">
        <v>0</v>
      </c>
      <c r="F411" s="1116">
        <f t="shared" si="67"/>
        <v>0</v>
      </c>
      <c r="G411" s="1116">
        <f t="shared" si="68"/>
        <v>0</v>
      </c>
      <c r="H411" s="976"/>
      <c r="I411" s="1117">
        <f t="shared" si="75"/>
        <v>0</v>
      </c>
      <c r="J411" s="1117">
        <f t="shared" si="75"/>
        <v>0</v>
      </c>
      <c r="K411" s="1320"/>
      <c r="L411" s="1000" t="str">
        <f t="shared" si="69"/>
        <v/>
      </c>
      <c r="M411" s="1118">
        <f t="shared" si="70"/>
        <v>0</v>
      </c>
      <c r="N411" s="976"/>
      <c r="O411" s="1119">
        <f t="shared" si="66"/>
        <v>0</v>
      </c>
      <c r="P411" s="1119">
        <f t="shared" si="74"/>
        <v>0</v>
      </c>
      <c r="Q411" s="1119">
        <f t="shared" si="74"/>
        <v>0</v>
      </c>
      <c r="R411" s="1119">
        <f t="shared" si="74"/>
        <v>0</v>
      </c>
      <c r="S411" s="1119">
        <f t="shared" si="74"/>
        <v>0</v>
      </c>
      <c r="T411" s="1119">
        <f t="shared" si="74"/>
        <v>0</v>
      </c>
      <c r="U411" s="1119">
        <f t="shared" si="74"/>
        <v>0</v>
      </c>
      <c r="V411" s="1119">
        <f t="shared" si="74"/>
        <v>0</v>
      </c>
      <c r="W411" s="1119">
        <f t="shared" si="74"/>
        <v>0</v>
      </c>
      <c r="X411" s="978"/>
      <c r="Y411" s="1120">
        <f t="shared" si="71"/>
        <v>0</v>
      </c>
      <c r="Z411" s="1354"/>
      <c r="AA411" s="1001">
        <v>0</v>
      </c>
      <c r="AB411" s="978"/>
      <c r="AC411" s="1036">
        <f t="shared" si="72"/>
        <v>0</v>
      </c>
      <c r="AD411" s="783">
        <f t="shared" si="73"/>
        <v>0</v>
      </c>
      <c r="AE411" s="1321"/>
      <c r="AF411" s="1322"/>
      <c r="AG411" s="740"/>
    </row>
    <row r="412" spans="1:33">
      <c r="A412" s="96">
        <v>301153</v>
      </c>
      <c r="B412" s="1286" t="s">
        <v>233</v>
      </c>
      <c r="C412" s="782">
        <f>'TAR_Tab 2_Volumina'!N415</f>
        <v>0</v>
      </c>
      <c r="D412" s="976"/>
      <c r="E412" s="1318">
        <v>0</v>
      </c>
      <c r="F412" s="1116">
        <f t="shared" si="67"/>
        <v>0</v>
      </c>
      <c r="G412" s="1116">
        <f t="shared" si="68"/>
        <v>0</v>
      </c>
      <c r="H412" s="976"/>
      <c r="I412" s="1117">
        <f t="shared" si="75"/>
        <v>0</v>
      </c>
      <c r="J412" s="1117">
        <f t="shared" si="75"/>
        <v>0</v>
      </c>
      <c r="K412" s="1320"/>
      <c r="L412" s="1000" t="str">
        <f t="shared" si="69"/>
        <v/>
      </c>
      <c r="M412" s="1118">
        <f t="shared" si="70"/>
        <v>0</v>
      </c>
      <c r="N412" s="976"/>
      <c r="O412" s="1119">
        <f t="shared" si="66"/>
        <v>0</v>
      </c>
      <c r="P412" s="1119">
        <f t="shared" si="74"/>
        <v>0</v>
      </c>
      <c r="Q412" s="1119">
        <f t="shared" si="74"/>
        <v>0</v>
      </c>
      <c r="R412" s="1119">
        <f t="shared" si="74"/>
        <v>0</v>
      </c>
      <c r="S412" s="1119">
        <f t="shared" si="74"/>
        <v>0</v>
      </c>
      <c r="T412" s="1119">
        <f t="shared" si="74"/>
        <v>0</v>
      </c>
      <c r="U412" s="1119">
        <f t="shared" si="74"/>
        <v>0</v>
      </c>
      <c r="V412" s="1119">
        <f t="shared" si="74"/>
        <v>0</v>
      </c>
      <c r="W412" s="1119">
        <f t="shared" si="74"/>
        <v>0</v>
      </c>
      <c r="X412" s="978"/>
      <c r="Y412" s="1120">
        <f t="shared" si="71"/>
        <v>0</v>
      </c>
      <c r="Z412" s="1354"/>
      <c r="AA412" s="1001">
        <v>0</v>
      </c>
      <c r="AB412" s="978"/>
      <c r="AC412" s="1036">
        <f t="shared" si="72"/>
        <v>0</v>
      </c>
      <c r="AD412" s="783">
        <f t="shared" si="73"/>
        <v>0</v>
      </c>
      <c r="AE412" s="1321"/>
      <c r="AF412" s="1322"/>
      <c r="AG412" s="740"/>
    </row>
    <row r="413" spans="1:33">
      <c r="A413" s="96">
        <v>301159</v>
      </c>
      <c r="B413" s="1286" t="s">
        <v>234</v>
      </c>
      <c r="C413" s="782">
        <f>'TAR_Tab 2_Volumina'!N416</f>
        <v>0</v>
      </c>
      <c r="D413" s="976"/>
      <c r="E413" s="1318">
        <v>0</v>
      </c>
      <c r="F413" s="1116">
        <f t="shared" si="67"/>
        <v>0</v>
      </c>
      <c r="G413" s="1116">
        <f t="shared" si="68"/>
        <v>0</v>
      </c>
      <c r="H413" s="976"/>
      <c r="I413" s="1117">
        <f t="shared" si="75"/>
        <v>0</v>
      </c>
      <c r="J413" s="1117">
        <f t="shared" si="75"/>
        <v>0</v>
      </c>
      <c r="K413" s="1320"/>
      <c r="L413" s="1000" t="str">
        <f t="shared" si="69"/>
        <v/>
      </c>
      <c r="M413" s="1118">
        <f t="shared" si="70"/>
        <v>0</v>
      </c>
      <c r="N413" s="976"/>
      <c r="O413" s="1119">
        <f t="shared" si="66"/>
        <v>0</v>
      </c>
      <c r="P413" s="1119">
        <f t="shared" si="74"/>
        <v>0</v>
      </c>
      <c r="Q413" s="1119">
        <f t="shared" si="74"/>
        <v>0</v>
      </c>
      <c r="R413" s="1119">
        <f t="shared" si="74"/>
        <v>0</v>
      </c>
      <c r="S413" s="1119">
        <f t="shared" si="74"/>
        <v>0</v>
      </c>
      <c r="T413" s="1119">
        <f t="shared" si="74"/>
        <v>0</v>
      </c>
      <c r="U413" s="1119">
        <f t="shared" si="74"/>
        <v>0</v>
      </c>
      <c r="V413" s="1119">
        <f t="shared" si="74"/>
        <v>0</v>
      </c>
      <c r="W413" s="1119">
        <f t="shared" si="74"/>
        <v>0</v>
      </c>
      <c r="X413" s="978"/>
      <c r="Y413" s="1120">
        <f t="shared" si="71"/>
        <v>0</v>
      </c>
      <c r="Z413" s="1354"/>
      <c r="AA413" s="1001">
        <v>0</v>
      </c>
      <c r="AB413" s="978"/>
      <c r="AC413" s="1036">
        <f t="shared" si="72"/>
        <v>0</v>
      </c>
      <c r="AD413" s="783">
        <f t="shared" si="73"/>
        <v>0</v>
      </c>
      <c r="AE413" s="1321"/>
      <c r="AF413" s="1322"/>
      <c r="AG413" s="740"/>
    </row>
    <row r="414" spans="1:33">
      <c r="A414" s="96">
        <v>301164</v>
      </c>
      <c r="B414" s="1286" t="s">
        <v>235</v>
      </c>
      <c r="C414" s="782">
        <f>'TAR_Tab 2_Volumina'!N417</f>
        <v>0</v>
      </c>
      <c r="D414" s="976"/>
      <c r="E414" s="1318">
        <v>0</v>
      </c>
      <c r="F414" s="1116">
        <f t="shared" si="67"/>
        <v>0</v>
      </c>
      <c r="G414" s="1116">
        <f t="shared" si="68"/>
        <v>0</v>
      </c>
      <c r="H414" s="976"/>
      <c r="I414" s="1117">
        <f t="shared" si="75"/>
        <v>0</v>
      </c>
      <c r="J414" s="1117">
        <f t="shared" si="75"/>
        <v>0</v>
      </c>
      <c r="K414" s="1320"/>
      <c r="L414" s="1000" t="str">
        <f t="shared" si="69"/>
        <v/>
      </c>
      <c r="M414" s="1118">
        <f t="shared" si="70"/>
        <v>0</v>
      </c>
      <c r="N414" s="976"/>
      <c r="O414" s="1119">
        <f t="shared" si="66"/>
        <v>0</v>
      </c>
      <c r="P414" s="1119">
        <f t="shared" si="74"/>
        <v>0</v>
      </c>
      <c r="Q414" s="1119">
        <f t="shared" si="74"/>
        <v>0</v>
      </c>
      <c r="R414" s="1119">
        <f t="shared" si="74"/>
        <v>0</v>
      </c>
      <c r="S414" s="1119">
        <f t="shared" si="74"/>
        <v>0</v>
      </c>
      <c r="T414" s="1119">
        <f t="shared" si="74"/>
        <v>0</v>
      </c>
      <c r="U414" s="1119">
        <f t="shared" si="74"/>
        <v>0</v>
      </c>
      <c r="V414" s="1119">
        <f t="shared" si="74"/>
        <v>0</v>
      </c>
      <c r="W414" s="1119">
        <f t="shared" si="74"/>
        <v>0</v>
      </c>
      <c r="X414" s="978"/>
      <c r="Y414" s="1120">
        <f t="shared" si="71"/>
        <v>0</v>
      </c>
      <c r="Z414" s="1354"/>
      <c r="AA414" s="1001">
        <v>0</v>
      </c>
      <c r="AB414" s="978"/>
      <c r="AC414" s="1036">
        <f t="shared" si="72"/>
        <v>0</v>
      </c>
      <c r="AD414" s="783">
        <f t="shared" si="73"/>
        <v>0</v>
      </c>
      <c r="AE414" s="1321"/>
      <c r="AF414" s="1322"/>
      <c r="AG414" s="740"/>
    </row>
    <row r="415" spans="1:33">
      <c r="A415" s="96">
        <v>301177</v>
      </c>
      <c r="B415" s="1286" t="s">
        <v>1203</v>
      </c>
      <c r="C415" s="782">
        <f>'TAR_Tab 2_Volumina'!N418</f>
        <v>0</v>
      </c>
      <c r="D415" s="976"/>
      <c r="E415" s="1318">
        <v>0</v>
      </c>
      <c r="F415" s="1116">
        <f t="shared" si="67"/>
        <v>0</v>
      </c>
      <c r="G415" s="1116">
        <f t="shared" si="68"/>
        <v>0</v>
      </c>
      <c r="H415" s="976"/>
      <c r="I415" s="1117">
        <f t="shared" si="75"/>
        <v>0</v>
      </c>
      <c r="J415" s="1117">
        <f t="shared" si="75"/>
        <v>0</v>
      </c>
      <c r="K415" s="1320"/>
      <c r="L415" s="1000" t="str">
        <f t="shared" si="69"/>
        <v/>
      </c>
      <c r="M415" s="1118">
        <f t="shared" si="70"/>
        <v>0</v>
      </c>
      <c r="N415" s="976"/>
      <c r="O415" s="1119">
        <f t="shared" si="66"/>
        <v>0</v>
      </c>
      <c r="P415" s="1119">
        <f t="shared" si="74"/>
        <v>0</v>
      </c>
      <c r="Q415" s="1119">
        <f t="shared" si="74"/>
        <v>0</v>
      </c>
      <c r="R415" s="1119">
        <f t="shared" si="74"/>
        <v>0</v>
      </c>
      <c r="S415" s="1119">
        <f t="shared" si="74"/>
        <v>0</v>
      </c>
      <c r="T415" s="1119">
        <f t="shared" si="74"/>
        <v>0</v>
      </c>
      <c r="U415" s="1119">
        <f t="shared" si="74"/>
        <v>0</v>
      </c>
      <c r="V415" s="1119">
        <f t="shared" si="74"/>
        <v>0</v>
      </c>
      <c r="W415" s="1119">
        <f t="shared" si="74"/>
        <v>0</v>
      </c>
      <c r="X415" s="978"/>
      <c r="Y415" s="1120">
        <f t="shared" si="71"/>
        <v>0</v>
      </c>
      <c r="Z415" s="1354"/>
      <c r="AA415" s="1001">
        <v>0</v>
      </c>
      <c r="AB415" s="978"/>
      <c r="AC415" s="1036">
        <f t="shared" si="72"/>
        <v>0</v>
      </c>
      <c r="AD415" s="783">
        <f t="shared" si="73"/>
        <v>0</v>
      </c>
      <c r="AE415" s="1321"/>
      <c r="AF415" s="1322"/>
      <c r="AG415" s="740"/>
    </row>
    <row r="416" spans="1:33">
      <c r="A416" s="96">
        <v>301178</v>
      </c>
      <c r="B416" s="1286" t="s">
        <v>236</v>
      </c>
      <c r="C416" s="782">
        <f>'TAR_Tab 2_Volumina'!N419</f>
        <v>0</v>
      </c>
      <c r="D416" s="976"/>
      <c r="E416" s="1318">
        <v>0</v>
      </c>
      <c r="F416" s="1116">
        <f t="shared" si="67"/>
        <v>0</v>
      </c>
      <c r="G416" s="1116">
        <f t="shared" si="68"/>
        <v>0</v>
      </c>
      <c r="H416" s="976"/>
      <c r="I416" s="1117">
        <f t="shared" si="75"/>
        <v>0</v>
      </c>
      <c r="J416" s="1117">
        <f t="shared" si="75"/>
        <v>0</v>
      </c>
      <c r="K416" s="1320"/>
      <c r="L416" s="1000" t="str">
        <f t="shared" si="69"/>
        <v/>
      </c>
      <c r="M416" s="1118">
        <f t="shared" si="70"/>
        <v>0</v>
      </c>
      <c r="N416" s="976"/>
      <c r="O416" s="1119">
        <f t="shared" si="66"/>
        <v>0</v>
      </c>
      <c r="P416" s="1119">
        <f t="shared" si="74"/>
        <v>0</v>
      </c>
      <c r="Q416" s="1119">
        <f t="shared" si="74"/>
        <v>0</v>
      </c>
      <c r="R416" s="1119">
        <f t="shared" si="74"/>
        <v>0</v>
      </c>
      <c r="S416" s="1119">
        <f t="shared" si="74"/>
        <v>0</v>
      </c>
      <c r="T416" s="1119">
        <f t="shared" si="74"/>
        <v>0</v>
      </c>
      <c r="U416" s="1119">
        <f t="shared" si="74"/>
        <v>0</v>
      </c>
      <c r="V416" s="1119">
        <f t="shared" si="74"/>
        <v>0</v>
      </c>
      <c r="W416" s="1119">
        <f t="shared" si="74"/>
        <v>0</v>
      </c>
      <c r="X416" s="978"/>
      <c r="Y416" s="1120">
        <f t="shared" si="71"/>
        <v>0</v>
      </c>
      <c r="Z416" s="1354"/>
      <c r="AA416" s="1001">
        <v>0</v>
      </c>
      <c r="AB416" s="978"/>
      <c r="AC416" s="1036">
        <f t="shared" si="72"/>
        <v>0</v>
      </c>
      <c r="AD416" s="783">
        <f t="shared" si="73"/>
        <v>0</v>
      </c>
      <c r="AE416" s="1321"/>
      <c r="AF416" s="1322"/>
      <c r="AG416" s="740"/>
    </row>
    <row r="417" spans="1:33">
      <c r="A417" s="96">
        <v>301180</v>
      </c>
      <c r="B417" s="1286" t="s">
        <v>1204</v>
      </c>
      <c r="C417" s="782">
        <f>'TAR_Tab 2_Volumina'!N420</f>
        <v>0</v>
      </c>
      <c r="D417" s="976"/>
      <c r="E417" s="1318">
        <v>0</v>
      </c>
      <c r="F417" s="1116">
        <f t="shared" si="67"/>
        <v>0</v>
      </c>
      <c r="G417" s="1116">
        <f t="shared" si="68"/>
        <v>0</v>
      </c>
      <c r="H417" s="976"/>
      <c r="I417" s="1117">
        <f t="shared" si="75"/>
        <v>0</v>
      </c>
      <c r="J417" s="1117">
        <f t="shared" si="75"/>
        <v>0</v>
      </c>
      <c r="K417" s="1320"/>
      <c r="L417" s="1000" t="str">
        <f t="shared" si="69"/>
        <v/>
      </c>
      <c r="M417" s="1118">
        <f t="shared" si="70"/>
        <v>0</v>
      </c>
      <c r="N417" s="976"/>
      <c r="O417" s="1119">
        <f t="shared" si="66"/>
        <v>0</v>
      </c>
      <c r="P417" s="1119">
        <f t="shared" si="74"/>
        <v>0</v>
      </c>
      <c r="Q417" s="1119">
        <f t="shared" si="74"/>
        <v>0</v>
      </c>
      <c r="R417" s="1119">
        <f t="shared" si="74"/>
        <v>0</v>
      </c>
      <c r="S417" s="1119">
        <f t="shared" si="74"/>
        <v>0</v>
      </c>
      <c r="T417" s="1119">
        <f t="shared" si="74"/>
        <v>0</v>
      </c>
      <c r="U417" s="1119">
        <f t="shared" si="74"/>
        <v>0</v>
      </c>
      <c r="V417" s="1119">
        <f t="shared" si="74"/>
        <v>0</v>
      </c>
      <c r="W417" s="1119">
        <f t="shared" si="74"/>
        <v>0</v>
      </c>
      <c r="X417" s="978"/>
      <c r="Y417" s="1120">
        <f t="shared" si="71"/>
        <v>0</v>
      </c>
      <c r="Z417" s="1354"/>
      <c r="AA417" s="1001">
        <v>0</v>
      </c>
      <c r="AB417" s="978"/>
      <c r="AC417" s="1036">
        <f t="shared" si="72"/>
        <v>0</v>
      </c>
      <c r="AD417" s="783">
        <f t="shared" si="73"/>
        <v>0</v>
      </c>
      <c r="AE417" s="1321"/>
      <c r="AF417" s="1322"/>
      <c r="AG417" s="740"/>
    </row>
    <row r="418" spans="1:33">
      <c r="A418" s="96">
        <v>301182</v>
      </c>
      <c r="B418" s="1286" t="s">
        <v>237</v>
      </c>
      <c r="C418" s="782">
        <f>'TAR_Tab 2_Volumina'!N421</f>
        <v>0</v>
      </c>
      <c r="D418" s="976"/>
      <c r="E418" s="1318">
        <v>0</v>
      </c>
      <c r="F418" s="1116">
        <f t="shared" si="67"/>
        <v>0</v>
      </c>
      <c r="G418" s="1116">
        <f t="shared" si="68"/>
        <v>0</v>
      </c>
      <c r="H418" s="976"/>
      <c r="I418" s="1117">
        <f t="shared" si="75"/>
        <v>0</v>
      </c>
      <c r="J418" s="1117">
        <f t="shared" si="75"/>
        <v>0</v>
      </c>
      <c r="K418" s="1320"/>
      <c r="L418" s="1000" t="str">
        <f t="shared" si="69"/>
        <v/>
      </c>
      <c r="M418" s="1118">
        <f t="shared" si="70"/>
        <v>0</v>
      </c>
      <c r="N418" s="976"/>
      <c r="O418" s="1119">
        <f t="shared" si="66"/>
        <v>0</v>
      </c>
      <c r="P418" s="1119">
        <f t="shared" si="74"/>
        <v>0</v>
      </c>
      <c r="Q418" s="1119">
        <f t="shared" si="74"/>
        <v>0</v>
      </c>
      <c r="R418" s="1119">
        <f t="shared" si="74"/>
        <v>0</v>
      </c>
      <c r="S418" s="1119">
        <f t="shared" si="74"/>
        <v>0</v>
      </c>
      <c r="T418" s="1119">
        <f t="shared" si="74"/>
        <v>0</v>
      </c>
      <c r="U418" s="1119">
        <f t="shared" si="74"/>
        <v>0</v>
      </c>
      <c r="V418" s="1119">
        <f t="shared" si="74"/>
        <v>0</v>
      </c>
      <c r="W418" s="1119">
        <f t="shared" si="74"/>
        <v>0</v>
      </c>
      <c r="X418" s="978"/>
      <c r="Y418" s="1120">
        <f t="shared" si="71"/>
        <v>0</v>
      </c>
      <c r="Z418" s="1354"/>
      <c r="AA418" s="1001">
        <v>0</v>
      </c>
      <c r="AB418" s="978"/>
      <c r="AC418" s="1036">
        <f t="shared" si="72"/>
        <v>0</v>
      </c>
      <c r="AD418" s="783">
        <f t="shared" si="73"/>
        <v>0</v>
      </c>
      <c r="AE418" s="1321"/>
      <c r="AF418" s="1322"/>
      <c r="AG418" s="740"/>
    </row>
    <row r="419" spans="1:33">
      <c r="A419" s="96">
        <v>301184</v>
      </c>
      <c r="B419" s="1286" t="s">
        <v>446</v>
      </c>
      <c r="C419" s="782">
        <f>'TAR_Tab 2_Volumina'!N422</f>
        <v>0</v>
      </c>
      <c r="D419" s="976"/>
      <c r="E419" s="1318">
        <v>0</v>
      </c>
      <c r="F419" s="1116">
        <f t="shared" si="67"/>
        <v>0</v>
      </c>
      <c r="G419" s="1116">
        <f t="shared" si="68"/>
        <v>0</v>
      </c>
      <c r="H419" s="976"/>
      <c r="I419" s="1117">
        <f t="shared" si="75"/>
        <v>0</v>
      </c>
      <c r="J419" s="1117">
        <f t="shared" si="75"/>
        <v>0</v>
      </c>
      <c r="K419" s="1320"/>
      <c r="L419" s="1000" t="str">
        <f t="shared" si="69"/>
        <v/>
      </c>
      <c r="M419" s="1118">
        <f t="shared" si="70"/>
        <v>0</v>
      </c>
      <c r="N419" s="976"/>
      <c r="O419" s="1119">
        <f t="shared" si="66"/>
        <v>0</v>
      </c>
      <c r="P419" s="1119">
        <f t="shared" si="74"/>
        <v>0</v>
      </c>
      <c r="Q419" s="1119">
        <f t="shared" si="74"/>
        <v>0</v>
      </c>
      <c r="R419" s="1119">
        <f t="shared" si="74"/>
        <v>0</v>
      </c>
      <c r="S419" s="1119">
        <f t="shared" si="74"/>
        <v>0</v>
      </c>
      <c r="T419" s="1119">
        <f t="shared" si="74"/>
        <v>0</v>
      </c>
      <c r="U419" s="1119">
        <f t="shared" si="74"/>
        <v>0</v>
      </c>
      <c r="V419" s="1119">
        <f t="shared" si="74"/>
        <v>0</v>
      </c>
      <c r="W419" s="1119">
        <f t="shared" si="74"/>
        <v>0</v>
      </c>
      <c r="X419" s="978"/>
      <c r="Y419" s="1120">
        <f t="shared" si="71"/>
        <v>0</v>
      </c>
      <c r="Z419" s="1354"/>
      <c r="AA419" s="1001">
        <v>0</v>
      </c>
      <c r="AB419" s="978"/>
      <c r="AC419" s="1036">
        <f t="shared" si="72"/>
        <v>0</v>
      </c>
      <c r="AD419" s="783">
        <f t="shared" si="73"/>
        <v>0</v>
      </c>
      <c r="AE419" s="1321"/>
      <c r="AF419" s="1322"/>
      <c r="AG419" s="740"/>
    </row>
    <row r="420" spans="1:33">
      <c r="A420" s="96">
        <v>301185</v>
      </c>
      <c r="B420" s="1286" t="s">
        <v>824</v>
      </c>
      <c r="C420" s="782">
        <f>'TAR_Tab 2_Volumina'!N423</f>
        <v>0</v>
      </c>
      <c r="D420" s="976"/>
      <c r="E420" s="1318">
        <v>0</v>
      </c>
      <c r="F420" s="1116">
        <f t="shared" si="67"/>
        <v>0</v>
      </c>
      <c r="G420" s="1116">
        <f t="shared" si="68"/>
        <v>0</v>
      </c>
      <c r="H420" s="976"/>
      <c r="I420" s="1117">
        <f t="shared" si="75"/>
        <v>0</v>
      </c>
      <c r="J420" s="1117">
        <f t="shared" si="75"/>
        <v>0</v>
      </c>
      <c r="K420" s="1320"/>
      <c r="L420" s="1000" t="str">
        <f t="shared" si="69"/>
        <v/>
      </c>
      <c r="M420" s="1118">
        <f t="shared" si="70"/>
        <v>0</v>
      </c>
      <c r="N420" s="976"/>
      <c r="O420" s="1119">
        <f t="shared" si="66"/>
        <v>0</v>
      </c>
      <c r="P420" s="1119">
        <f t="shared" si="74"/>
        <v>0</v>
      </c>
      <c r="Q420" s="1119">
        <f t="shared" si="74"/>
        <v>0</v>
      </c>
      <c r="R420" s="1119">
        <f t="shared" si="74"/>
        <v>0</v>
      </c>
      <c r="S420" s="1119">
        <f t="shared" si="74"/>
        <v>0</v>
      </c>
      <c r="T420" s="1119">
        <f t="shared" si="74"/>
        <v>0</v>
      </c>
      <c r="U420" s="1119">
        <f t="shared" si="74"/>
        <v>0</v>
      </c>
      <c r="V420" s="1119">
        <f t="shared" si="74"/>
        <v>0</v>
      </c>
      <c r="W420" s="1119">
        <f t="shared" si="74"/>
        <v>0</v>
      </c>
      <c r="X420" s="978"/>
      <c r="Y420" s="1120">
        <f t="shared" si="71"/>
        <v>0</v>
      </c>
      <c r="Z420" s="1354"/>
      <c r="AA420" s="1001">
        <v>0</v>
      </c>
      <c r="AB420" s="978"/>
      <c r="AC420" s="1036">
        <f t="shared" si="72"/>
        <v>0</v>
      </c>
      <c r="AD420" s="783">
        <f t="shared" si="73"/>
        <v>0</v>
      </c>
      <c r="AE420" s="1321"/>
      <c r="AF420" s="1322"/>
      <c r="AG420" s="740"/>
    </row>
    <row r="421" spans="1:33">
      <c r="A421" s="96">
        <v>301191</v>
      </c>
      <c r="B421" s="1286" t="s">
        <v>825</v>
      </c>
      <c r="C421" s="782">
        <f>'TAR_Tab 2_Volumina'!N424</f>
        <v>1</v>
      </c>
      <c r="D421" s="976"/>
      <c r="E421" s="1318">
        <v>35722.02781136518</v>
      </c>
      <c r="F421" s="1116">
        <f t="shared" si="67"/>
        <v>33993.081665295103</v>
      </c>
      <c r="G421" s="1116">
        <f t="shared" si="68"/>
        <v>34787.534164485827</v>
      </c>
      <c r="H421" s="976"/>
      <c r="I421" s="1117">
        <f t="shared" si="75"/>
        <v>33048.157456261535</v>
      </c>
      <c r="J421" s="1117">
        <f t="shared" si="75"/>
        <v>36526.910872710119</v>
      </c>
      <c r="K421" s="1320"/>
      <c r="L421" s="1000" t="str">
        <f t="shared" si="69"/>
        <v/>
      </c>
      <c r="M421" s="1118">
        <f t="shared" si="70"/>
        <v>34787.534164485827</v>
      </c>
      <c r="N421" s="976"/>
      <c r="O421" s="1119">
        <f t="shared" si="66"/>
        <v>-1613.3713496037913</v>
      </c>
      <c r="P421" s="1119">
        <f t="shared" si="74"/>
        <v>1669.4094408962371</v>
      </c>
      <c r="Q421" s="1119">
        <f t="shared" si="74"/>
        <v>0</v>
      </c>
      <c r="R421" s="1119">
        <f t="shared" si="74"/>
        <v>62.89083051203594</v>
      </c>
      <c r="S421" s="1119">
        <f t="shared" si="74"/>
        <v>1456.5396964682793</v>
      </c>
      <c r="T421" s="1119">
        <f t="shared" si="74"/>
        <v>-190.61821729297034</v>
      </c>
      <c r="U421" s="1119">
        <f t="shared" si="74"/>
        <v>-7.1712725559572243</v>
      </c>
      <c r="V421" s="1119">
        <f t="shared" si="74"/>
        <v>-592.93851547629686</v>
      </c>
      <c r="W421" s="1119">
        <f t="shared" si="74"/>
        <v>46.784885820729031</v>
      </c>
      <c r="X421" s="978"/>
      <c r="Y421" s="1120">
        <f t="shared" si="71"/>
        <v>35619.059663254091</v>
      </c>
      <c r="Z421" s="1354"/>
      <c r="AA421" s="1001">
        <v>5.0570989055568859E-2</v>
      </c>
      <c r="AB421" s="978"/>
      <c r="AC421" s="1036">
        <f t="shared" si="72"/>
        <v>5.0570989055568859E-2</v>
      </c>
      <c r="AD421" s="783">
        <f t="shared" si="73"/>
        <v>5.0999999999999997E-2</v>
      </c>
      <c r="AE421" s="1321"/>
      <c r="AF421" s="1322"/>
      <c r="AG421" s="740"/>
    </row>
    <row r="422" spans="1:33">
      <c r="A422" s="96">
        <v>301193</v>
      </c>
      <c r="B422" s="1286" t="s">
        <v>324</v>
      </c>
      <c r="C422" s="782">
        <f>'TAR_Tab 2_Volumina'!N425</f>
        <v>1</v>
      </c>
      <c r="D422" s="976"/>
      <c r="E422" s="1318">
        <v>17861.01390568259</v>
      </c>
      <c r="F422" s="1116">
        <f t="shared" si="67"/>
        <v>16996.540832647552</v>
      </c>
      <c r="G422" s="1116">
        <f t="shared" si="68"/>
        <v>17393.767082242914</v>
      </c>
      <c r="H422" s="976"/>
      <c r="I422" s="1117">
        <f t="shared" si="75"/>
        <v>16524.078728130768</v>
      </c>
      <c r="J422" s="1117">
        <f t="shared" si="75"/>
        <v>18263.45543635506</v>
      </c>
      <c r="K422" s="1320"/>
      <c r="L422" s="1000" t="str">
        <f t="shared" si="69"/>
        <v/>
      </c>
      <c r="M422" s="1118">
        <f t="shared" si="70"/>
        <v>17393.767082242914</v>
      </c>
      <c r="N422" s="976"/>
      <c r="O422" s="1119">
        <f t="shared" si="66"/>
        <v>-806.68567480189563</v>
      </c>
      <c r="P422" s="1119">
        <f t="shared" si="74"/>
        <v>834.70472044811856</v>
      </c>
      <c r="Q422" s="1119">
        <f t="shared" si="74"/>
        <v>0</v>
      </c>
      <c r="R422" s="1119">
        <f t="shared" si="74"/>
        <v>31.44541525601797</v>
      </c>
      <c r="S422" s="1119">
        <f t="shared" si="74"/>
        <v>728.26984823413966</v>
      </c>
      <c r="T422" s="1119">
        <f t="shared" si="74"/>
        <v>-95.309108646485171</v>
      </c>
      <c r="U422" s="1119">
        <f t="shared" si="74"/>
        <v>-3.5856362779786122</v>
      </c>
      <c r="V422" s="1119">
        <f t="shared" si="74"/>
        <v>-296.46925773814843</v>
      </c>
      <c r="W422" s="1119">
        <f t="shared" si="74"/>
        <v>23.392442910364515</v>
      </c>
      <c r="X422" s="978"/>
      <c r="Y422" s="1120">
        <f t="shared" si="71"/>
        <v>17809.529831627045</v>
      </c>
      <c r="Z422" s="1354"/>
      <c r="AA422" s="1001">
        <v>4.4135046372494879E-2</v>
      </c>
      <c r="AB422" s="978"/>
      <c r="AC422" s="1036">
        <f t="shared" si="72"/>
        <v>4.4135046372494879E-2</v>
      </c>
      <c r="AD422" s="783">
        <f t="shared" si="73"/>
        <v>4.3999999999999997E-2</v>
      </c>
      <c r="AE422" s="1321"/>
      <c r="AF422" s="1322"/>
      <c r="AG422" s="740"/>
    </row>
    <row r="423" spans="1:33">
      <c r="A423" s="96">
        <v>301194</v>
      </c>
      <c r="B423" s="1286" t="s">
        <v>325</v>
      </c>
      <c r="C423" s="782">
        <f>'TAR_Tab 2_Volumina'!N426</f>
        <v>1</v>
      </c>
      <c r="D423" s="976"/>
      <c r="E423" s="1318">
        <v>214332.1668681911</v>
      </c>
      <c r="F423" s="1116">
        <f t="shared" si="67"/>
        <v>203958.48999177065</v>
      </c>
      <c r="G423" s="1116">
        <f t="shared" si="68"/>
        <v>208725.20498691499</v>
      </c>
      <c r="H423" s="976"/>
      <c r="I423" s="1117">
        <f t="shared" si="75"/>
        <v>198288.94473756923</v>
      </c>
      <c r="J423" s="1117">
        <f t="shared" si="75"/>
        <v>219161.46523626076</v>
      </c>
      <c r="K423" s="1320"/>
      <c r="L423" s="1000" t="str">
        <f t="shared" si="69"/>
        <v/>
      </c>
      <c r="M423" s="1118">
        <f t="shared" si="70"/>
        <v>208725.20498691499</v>
      </c>
      <c r="N423" s="976"/>
      <c r="O423" s="1119">
        <f t="shared" si="66"/>
        <v>-9680.2280976227485</v>
      </c>
      <c r="P423" s="1119">
        <f t="shared" si="74"/>
        <v>10016.456645377424</v>
      </c>
      <c r="Q423" s="1119">
        <f t="shared" si="74"/>
        <v>0</v>
      </c>
      <c r="R423" s="1119">
        <f t="shared" si="74"/>
        <v>377.34498307221571</v>
      </c>
      <c r="S423" s="1119">
        <f t="shared" si="74"/>
        <v>8739.2381788096773</v>
      </c>
      <c r="T423" s="1119">
        <f t="shared" si="74"/>
        <v>-1143.7093037578222</v>
      </c>
      <c r="U423" s="1119">
        <f t="shared" si="74"/>
        <v>-43.027635335743355</v>
      </c>
      <c r="V423" s="1119">
        <f t="shared" si="74"/>
        <v>-3557.6310928577814</v>
      </c>
      <c r="W423" s="1119">
        <f t="shared" si="74"/>
        <v>280.70931492437421</v>
      </c>
      <c r="X423" s="978"/>
      <c r="Y423" s="1120">
        <f t="shared" si="71"/>
        <v>213714.35797952459</v>
      </c>
      <c r="Z423" s="1354"/>
      <c r="AA423" s="1001">
        <v>6.9211126544996171E-2</v>
      </c>
      <c r="AB423" s="978"/>
      <c r="AC423" s="1036">
        <f t="shared" si="72"/>
        <v>6.9211126544996171E-2</v>
      </c>
      <c r="AD423" s="783">
        <f t="shared" si="73"/>
        <v>6.9000000000000006E-2</v>
      </c>
      <c r="AE423" s="1321"/>
      <c r="AF423" s="1322"/>
      <c r="AG423" s="740"/>
    </row>
    <row r="424" spans="1:33">
      <c r="A424" s="96">
        <v>301195</v>
      </c>
      <c r="B424" s="1286" t="s">
        <v>326</v>
      </c>
      <c r="C424" s="782">
        <f>'TAR_Tab 2_Volumina'!N427</f>
        <v>1</v>
      </c>
      <c r="D424" s="976"/>
      <c r="E424" s="1318">
        <v>71444.05562273036</v>
      </c>
      <c r="F424" s="1116">
        <f t="shared" si="67"/>
        <v>67986.163330590207</v>
      </c>
      <c r="G424" s="1116">
        <f t="shared" si="68"/>
        <v>69575.068328971654</v>
      </c>
      <c r="H424" s="976"/>
      <c r="I424" s="1117">
        <f t="shared" si="75"/>
        <v>66096.31491252307</v>
      </c>
      <c r="J424" s="1117">
        <f t="shared" si="75"/>
        <v>73053.821745420239</v>
      </c>
      <c r="K424" s="1320"/>
      <c r="L424" s="1000" t="str">
        <f t="shared" si="69"/>
        <v/>
      </c>
      <c r="M424" s="1118">
        <f t="shared" si="70"/>
        <v>69575.068328971654</v>
      </c>
      <c r="N424" s="976"/>
      <c r="O424" s="1119">
        <f t="shared" si="66"/>
        <v>-3226.7426992075825</v>
      </c>
      <c r="P424" s="1119">
        <f t="shared" si="74"/>
        <v>3338.8188817924743</v>
      </c>
      <c r="Q424" s="1119">
        <f t="shared" si="74"/>
        <v>0</v>
      </c>
      <c r="R424" s="1119">
        <f t="shared" si="74"/>
        <v>125.78166102407188</v>
      </c>
      <c r="S424" s="1119">
        <f t="shared" si="74"/>
        <v>2913.0793929365586</v>
      </c>
      <c r="T424" s="1119">
        <f t="shared" si="74"/>
        <v>-381.23643458594069</v>
      </c>
      <c r="U424" s="1119">
        <f t="shared" si="74"/>
        <v>-14.342545111914449</v>
      </c>
      <c r="V424" s="1119">
        <f t="shared" si="74"/>
        <v>-1185.8770309525937</v>
      </c>
      <c r="W424" s="1119">
        <f t="shared" si="74"/>
        <v>93.569771641458061</v>
      </c>
      <c r="X424" s="978"/>
      <c r="Y424" s="1120">
        <f t="shared" si="71"/>
        <v>71238.119326508182</v>
      </c>
      <c r="Z424" s="1354"/>
      <c r="AA424" s="1001">
        <v>4.8962626272523742E-2</v>
      </c>
      <c r="AB424" s="978"/>
      <c r="AC424" s="1036">
        <f t="shared" si="72"/>
        <v>4.8962626272523742E-2</v>
      </c>
      <c r="AD424" s="783">
        <f t="shared" si="73"/>
        <v>4.9000000000000002E-2</v>
      </c>
      <c r="AE424" s="1321"/>
      <c r="AF424" s="1322"/>
      <c r="AG424" s="740"/>
    </row>
    <row r="425" spans="1:33">
      <c r="A425" s="96">
        <v>301196</v>
      </c>
      <c r="B425" s="1286" t="s">
        <v>327</v>
      </c>
      <c r="C425" s="782">
        <f>'TAR_Tab 2_Volumina'!N428</f>
        <v>1</v>
      </c>
      <c r="D425" s="976"/>
      <c r="E425" s="1318">
        <v>125027.09733977813</v>
      </c>
      <c r="F425" s="1116">
        <f t="shared" si="67"/>
        <v>118975.78582853287</v>
      </c>
      <c r="G425" s="1116">
        <f t="shared" si="68"/>
        <v>121756.3695757004</v>
      </c>
      <c r="H425" s="976"/>
      <c r="I425" s="1117">
        <f t="shared" si="75"/>
        <v>115668.55109691538</v>
      </c>
      <c r="J425" s="1117">
        <f t="shared" si="75"/>
        <v>127844.18805448542</v>
      </c>
      <c r="K425" s="1320"/>
      <c r="L425" s="1000" t="str">
        <f t="shared" si="69"/>
        <v/>
      </c>
      <c r="M425" s="1118">
        <f t="shared" si="70"/>
        <v>121756.3695757004</v>
      </c>
      <c r="N425" s="976"/>
      <c r="O425" s="1119">
        <f t="shared" si="66"/>
        <v>-5646.7997236132696</v>
      </c>
      <c r="P425" s="1119">
        <f t="shared" si="74"/>
        <v>5842.9330431368307</v>
      </c>
      <c r="Q425" s="1119">
        <f t="shared" ref="P425:W456" si="76">$M425*Q$5</f>
        <v>0</v>
      </c>
      <c r="R425" s="1119">
        <f t="shared" si="76"/>
        <v>220.11790679212581</v>
      </c>
      <c r="S425" s="1119">
        <f t="shared" si="76"/>
        <v>5097.8889376389779</v>
      </c>
      <c r="T425" s="1119">
        <f t="shared" si="76"/>
        <v>-667.16376052539624</v>
      </c>
      <c r="U425" s="1119">
        <f t="shared" si="76"/>
        <v>-25.099453945850289</v>
      </c>
      <c r="V425" s="1119">
        <f t="shared" si="76"/>
        <v>-2075.2848041670391</v>
      </c>
      <c r="W425" s="1119">
        <f t="shared" si="76"/>
        <v>163.74710037255161</v>
      </c>
      <c r="X425" s="978"/>
      <c r="Y425" s="1120">
        <f t="shared" si="71"/>
        <v>124666.70882138933</v>
      </c>
      <c r="Z425" s="1354"/>
      <c r="AA425" s="1001">
        <v>0.12980751053910863</v>
      </c>
      <c r="AB425" s="978"/>
      <c r="AC425" s="1036">
        <f t="shared" si="72"/>
        <v>0.12980751053910863</v>
      </c>
      <c r="AD425" s="783">
        <f t="shared" si="73"/>
        <v>0.13</v>
      </c>
      <c r="AE425" s="1321"/>
      <c r="AF425" s="1322"/>
      <c r="AG425" s="740"/>
    </row>
    <row r="426" spans="1:33">
      <c r="A426" s="96">
        <v>301197</v>
      </c>
      <c r="B426" s="1286" t="s">
        <v>826</v>
      </c>
      <c r="C426" s="782">
        <f>'TAR_Tab 2_Volumina'!N429</f>
        <v>1</v>
      </c>
      <c r="D426" s="976"/>
      <c r="E426" s="1318">
        <v>178610.13905682589</v>
      </c>
      <c r="F426" s="1116">
        <f t="shared" si="67"/>
        <v>169965.40832647553</v>
      </c>
      <c r="G426" s="1116">
        <f t="shared" si="68"/>
        <v>173937.67082242915</v>
      </c>
      <c r="H426" s="976"/>
      <c r="I426" s="1117">
        <f t="shared" si="75"/>
        <v>165240.78728130768</v>
      </c>
      <c r="J426" s="1117">
        <f t="shared" si="75"/>
        <v>182634.55436355062</v>
      </c>
      <c r="K426" s="1320"/>
      <c r="L426" s="1000" t="str">
        <f t="shared" si="69"/>
        <v/>
      </c>
      <c r="M426" s="1118">
        <f t="shared" si="70"/>
        <v>173937.67082242915</v>
      </c>
      <c r="N426" s="976"/>
      <c r="O426" s="1119">
        <f t="shared" ref="O426:W457" si="77">$M426*O$5</f>
        <v>-8066.8567480189568</v>
      </c>
      <c r="P426" s="1119">
        <f t="shared" si="76"/>
        <v>8347.0472044811868</v>
      </c>
      <c r="Q426" s="1119">
        <f t="shared" si="76"/>
        <v>0</v>
      </c>
      <c r="R426" s="1119">
        <f t="shared" si="76"/>
        <v>314.45415256017975</v>
      </c>
      <c r="S426" s="1119">
        <f t="shared" si="76"/>
        <v>7282.6984823413968</v>
      </c>
      <c r="T426" s="1119">
        <f t="shared" si="76"/>
        <v>-953.09108646485174</v>
      </c>
      <c r="U426" s="1119">
        <f t="shared" si="76"/>
        <v>-35.856362779786124</v>
      </c>
      <c r="V426" s="1119">
        <f t="shared" si="76"/>
        <v>-2964.6925773814842</v>
      </c>
      <c r="W426" s="1119">
        <f t="shared" si="76"/>
        <v>233.92442910364517</v>
      </c>
      <c r="X426" s="978"/>
      <c r="Y426" s="1120">
        <f t="shared" si="71"/>
        <v>178095.29831627049</v>
      </c>
      <c r="Z426" s="1354"/>
      <c r="AA426" s="1001">
        <v>6.0193142990293498E-2</v>
      </c>
      <c r="AB426" s="978"/>
      <c r="AC426" s="1036">
        <f t="shared" si="72"/>
        <v>6.0193142990293498E-2</v>
      </c>
      <c r="AD426" s="783">
        <f t="shared" si="73"/>
        <v>0.06</v>
      </c>
      <c r="AE426" s="1321"/>
      <c r="AF426" s="1322"/>
      <c r="AG426" s="740"/>
    </row>
    <row r="427" spans="1:33">
      <c r="A427" s="96">
        <v>301198</v>
      </c>
      <c r="B427" s="1286" t="s">
        <v>827</v>
      </c>
      <c r="C427" s="782">
        <f>'TAR_Tab 2_Volumina'!N430</f>
        <v>0</v>
      </c>
      <c r="D427" s="976"/>
      <c r="E427" s="1318">
        <v>0</v>
      </c>
      <c r="F427" s="1116">
        <f t="shared" si="67"/>
        <v>0</v>
      </c>
      <c r="G427" s="1116">
        <f t="shared" si="68"/>
        <v>0</v>
      </c>
      <c r="H427" s="976"/>
      <c r="I427" s="1117">
        <f t="shared" si="75"/>
        <v>0</v>
      </c>
      <c r="J427" s="1117">
        <f t="shared" si="75"/>
        <v>0</v>
      </c>
      <c r="K427" s="1320"/>
      <c r="L427" s="1000" t="str">
        <f t="shared" si="69"/>
        <v/>
      </c>
      <c r="M427" s="1118">
        <f t="shared" si="70"/>
        <v>0</v>
      </c>
      <c r="N427" s="976"/>
      <c r="O427" s="1119">
        <f t="shared" si="77"/>
        <v>0</v>
      </c>
      <c r="P427" s="1119">
        <f t="shared" si="76"/>
        <v>0</v>
      </c>
      <c r="Q427" s="1119">
        <f t="shared" si="76"/>
        <v>0</v>
      </c>
      <c r="R427" s="1119">
        <f t="shared" si="76"/>
        <v>0</v>
      </c>
      <c r="S427" s="1119">
        <f t="shared" si="76"/>
        <v>0</v>
      </c>
      <c r="T427" s="1119">
        <f t="shared" si="76"/>
        <v>0</v>
      </c>
      <c r="U427" s="1119">
        <f t="shared" si="76"/>
        <v>0</v>
      </c>
      <c r="V427" s="1119">
        <f t="shared" si="76"/>
        <v>0</v>
      </c>
      <c r="W427" s="1119">
        <f t="shared" si="76"/>
        <v>0</v>
      </c>
      <c r="X427" s="978"/>
      <c r="Y427" s="1120">
        <f t="shared" si="71"/>
        <v>0</v>
      </c>
      <c r="Z427" s="1354"/>
      <c r="AA427" s="1001">
        <v>0</v>
      </c>
      <c r="AB427" s="978"/>
      <c r="AC427" s="1036">
        <f t="shared" si="72"/>
        <v>0</v>
      </c>
      <c r="AD427" s="783">
        <f t="shared" si="73"/>
        <v>0</v>
      </c>
      <c r="AE427" s="1321"/>
      <c r="AF427" s="1322"/>
      <c r="AG427" s="740"/>
    </row>
    <row r="428" spans="1:33">
      <c r="A428" s="96">
        <v>301199</v>
      </c>
      <c r="B428" s="1286" t="s">
        <v>828</v>
      </c>
      <c r="C428" s="782">
        <f>'TAR_Tab 2_Volumina'!N431</f>
        <v>0</v>
      </c>
      <c r="D428" s="976"/>
      <c r="E428" s="1318">
        <v>0</v>
      </c>
      <c r="F428" s="1116">
        <f t="shared" si="67"/>
        <v>0</v>
      </c>
      <c r="G428" s="1116">
        <f t="shared" si="68"/>
        <v>0</v>
      </c>
      <c r="H428" s="976"/>
      <c r="I428" s="1117">
        <f t="shared" si="75"/>
        <v>0</v>
      </c>
      <c r="J428" s="1117">
        <f t="shared" si="75"/>
        <v>0</v>
      </c>
      <c r="K428" s="1320"/>
      <c r="L428" s="1000" t="str">
        <f t="shared" si="69"/>
        <v/>
      </c>
      <c r="M428" s="1118">
        <f t="shared" si="70"/>
        <v>0</v>
      </c>
      <c r="N428" s="976"/>
      <c r="O428" s="1119">
        <f t="shared" si="77"/>
        <v>0</v>
      </c>
      <c r="P428" s="1119">
        <f t="shared" si="76"/>
        <v>0</v>
      </c>
      <c r="Q428" s="1119">
        <f t="shared" si="76"/>
        <v>0</v>
      </c>
      <c r="R428" s="1119">
        <f t="shared" si="76"/>
        <v>0</v>
      </c>
      <c r="S428" s="1119">
        <f t="shared" si="76"/>
        <v>0</v>
      </c>
      <c r="T428" s="1119">
        <f t="shared" si="76"/>
        <v>0</v>
      </c>
      <c r="U428" s="1119">
        <f t="shared" si="76"/>
        <v>0</v>
      </c>
      <c r="V428" s="1119">
        <f t="shared" si="76"/>
        <v>0</v>
      </c>
      <c r="W428" s="1119">
        <f t="shared" si="76"/>
        <v>0</v>
      </c>
      <c r="X428" s="978"/>
      <c r="Y428" s="1120">
        <f t="shared" si="71"/>
        <v>0</v>
      </c>
      <c r="Z428" s="1354"/>
      <c r="AA428" s="1001">
        <v>0</v>
      </c>
      <c r="AB428" s="978"/>
      <c r="AC428" s="1036">
        <f t="shared" si="72"/>
        <v>0</v>
      </c>
      <c r="AD428" s="783">
        <f t="shared" si="73"/>
        <v>0</v>
      </c>
      <c r="AE428" s="1321"/>
      <c r="AF428" s="1322"/>
      <c r="AG428" s="740"/>
    </row>
    <row r="429" spans="1:33">
      <c r="A429" s="96">
        <v>301203</v>
      </c>
      <c r="B429" s="1286" t="s">
        <v>328</v>
      </c>
      <c r="C429" s="782">
        <f>'TAR_Tab 2_Volumina'!N432</f>
        <v>1</v>
      </c>
      <c r="D429" s="976"/>
      <c r="E429" s="1318">
        <v>71444.05562273036</v>
      </c>
      <c r="F429" s="1116">
        <f t="shared" si="67"/>
        <v>67986.163330590207</v>
      </c>
      <c r="G429" s="1116">
        <f t="shared" si="68"/>
        <v>69575.068328971654</v>
      </c>
      <c r="H429" s="976"/>
      <c r="I429" s="1117">
        <f t="shared" si="75"/>
        <v>66096.31491252307</v>
      </c>
      <c r="J429" s="1117">
        <f t="shared" si="75"/>
        <v>73053.821745420239</v>
      </c>
      <c r="K429" s="1320"/>
      <c r="L429" s="1000" t="str">
        <f t="shared" si="69"/>
        <v/>
      </c>
      <c r="M429" s="1118">
        <f t="shared" si="70"/>
        <v>69575.068328971654</v>
      </c>
      <c r="N429" s="976"/>
      <c r="O429" s="1119">
        <f t="shared" si="77"/>
        <v>-3226.7426992075825</v>
      </c>
      <c r="P429" s="1119">
        <f t="shared" si="76"/>
        <v>3338.8188817924743</v>
      </c>
      <c r="Q429" s="1119">
        <f t="shared" si="76"/>
        <v>0</v>
      </c>
      <c r="R429" s="1119">
        <f t="shared" si="76"/>
        <v>125.78166102407188</v>
      </c>
      <c r="S429" s="1119">
        <f t="shared" si="76"/>
        <v>2913.0793929365586</v>
      </c>
      <c r="T429" s="1119">
        <f t="shared" si="76"/>
        <v>-381.23643458594069</v>
      </c>
      <c r="U429" s="1119">
        <f t="shared" si="76"/>
        <v>-14.342545111914449</v>
      </c>
      <c r="V429" s="1119">
        <f t="shared" si="76"/>
        <v>-1185.8770309525937</v>
      </c>
      <c r="W429" s="1119">
        <f t="shared" si="76"/>
        <v>93.569771641458061</v>
      </c>
      <c r="X429" s="978"/>
      <c r="Y429" s="1120">
        <f t="shared" si="71"/>
        <v>71238.119326508182</v>
      </c>
      <c r="Z429" s="1354"/>
      <c r="AA429" s="1001">
        <v>5.7598982990097566E-2</v>
      </c>
      <c r="AB429" s="978"/>
      <c r="AC429" s="1036">
        <f t="shared" si="72"/>
        <v>5.7598982990097566E-2</v>
      </c>
      <c r="AD429" s="783">
        <f t="shared" si="73"/>
        <v>5.8000000000000003E-2</v>
      </c>
      <c r="AE429" s="1321"/>
      <c r="AF429" s="1322"/>
      <c r="AG429" s="740"/>
    </row>
    <row r="430" spans="1:33">
      <c r="A430" s="96">
        <v>301206</v>
      </c>
      <c r="B430" s="1286" t="s">
        <v>329</v>
      </c>
      <c r="C430" s="782">
        <f>'TAR_Tab 2_Volumina'!N433</f>
        <v>1</v>
      </c>
      <c r="D430" s="976"/>
      <c r="E430" s="1318">
        <v>71444.05562273036</v>
      </c>
      <c r="F430" s="1116">
        <f t="shared" si="67"/>
        <v>67986.163330590207</v>
      </c>
      <c r="G430" s="1116">
        <f t="shared" si="68"/>
        <v>69575.068328971654</v>
      </c>
      <c r="H430" s="976"/>
      <c r="I430" s="1117">
        <f t="shared" si="75"/>
        <v>66096.31491252307</v>
      </c>
      <c r="J430" s="1117">
        <f t="shared" si="75"/>
        <v>73053.821745420239</v>
      </c>
      <c r="K430" s="1320"/>
      <c r="L430" s="1000" t="str">
        <f t="shared" si="69"/>
        <v/>
      </c>
      <c r="M430" s="1118">
        <f t="shared" si="70"/>
        <v>69575.068328971654</v>
      </c>
      <c r="N430" s="976"/>
      <c r="O430" s="1119">
        <f t="shared" si="77"/>
        <v>-3226.7426992075825</v>
      </c>
      <c r="P430" s="1119">
        <f t="shared" si="76"/>
        <v>3338.8188817924743</v>
      </c>
      <c r="Q430" s="1119">
        <f t="shared" si="76"/>
        <v>0</v>
      </c>
      <c r="R430" s="1119">
        <f t="shared" si="76"/>
        <v>125.78166102407188</v>
      </c>
      <c r="S430" s="1119">
        <f t="shared" si="76"/>
        <v>2913.0793929365586</v>
      </c>
      <c r="T430" s="1119">
        <f t="shared" si="76"/>
        <v>-381.23643458594069</v>
      </c>
      <c r="U430" s="1119">
        <f t="shared" si="76"/>
        <v>-14.342545111914449</v>
      </c>
      <c r="V430" s="1119">
        <f t="shared" si="76"/>
        <v>-1185.8770309525937</v>
      </c>
      <c r="W430" s="1119">
        <f t="shared" si="76"/>
        <v>93.569771641458061</v>
      </c>
      <c r="X430" s="978"/>
      <c r="Y430" s="1120">
        <f t="shared" si="71"/>
        <v>71238.119326508182</v>
      </c>
      <c r="Z430" s="1354"/>
      <c r="AA430" s="1001">
        <v>0.17375309573636946</v>
      </c>
      <c r="AB430" s="978"/>
      <c r="AC430" s="1036">
        <f t="shared" si="72"/>
        <v>0.17375309573636946</v>
      </c>
      <c r="AD430" s="783">
        <f t="shared" si="73"/>
        <v>0.17399999999999999</v>
      </c>
      <c r="AE430" s="1321"/>
      <c r="AF430" s="1322"/>
      <c r="AG430" s="740"/>
    </row>
    <row r="431" spans="1:33">
      <c r="A431" s="96">
        <v>301207</v>
      </c>
      <c r="B431" s="1286" t="s">
        <v>330</v>
      </c>
      <c r="C431" s="782">
        <f>'TAR_Tab 2_Volumina'!N434</f>
        <v>1</v>
      </c>
      <c r="D431" s="976"/>
      <c r="E431" s="1318">
        <v>178610.13905682589</v>
      </c>
      <c r="F431" s="1116">
        <f t="shared" si="67"/>
        <v>169965.40832647553</v>
      </c>
      <c r="G431" s="1116">
        <f t="shared" si="68"/>
        <v>173937.67082242915</v>
      </c>
      <c r="H431" s="976"/>
      <c r="I431" s="1117">
        <f t="shared" si="75"/>
        <v>165240.78728130768</v>
      </c>
      <c r="J431" s="1117">
        <f t="shared" si="75"/>
        <v>182634.55436355062</v>
      </c>
      <c r="K431" s="1320"/>
      <c r="L431" s="1000" t="str">
        <f t="shared" si="69"/>
        <v/>
      </c>
      <c r="M431" s="1118">
        <f t="shared" si="70"/>
        <v>173937.67082242915</v>
      </c>
      <c r="N431" s="976"/>
      <c r="O431" s="1119">
        <f t="shared" si="77"/>
        <v>-8066.8567480189568</v>
      </c>
      <c r="P431" s="1119">
        <f t="shared" si="76"/>
        <v>8347.0472044811868</v>
      </c>
      <c r="Q431" s="1119">
        <f t="shared" si="76"/>
        <v>0</v>
      </c>
      <c r="R431" s="1119">
        <f t="shared" si="76"/>
        <v>314.45415256017975</v>
      </c>
      <c r="S431" s="1119">
        <f t="shared" si="76"/>
        <v>7282.6984823413968</v>
      </c>
      <c r="T431" s="1119">
        <f t="shared" si="76"/>
        <v>-953.09108646485174</v>
      </c>
      <c r="U431" s="1119">
        <f t="shared" si="76"/>
        <v>-35.856362779786124</v>
      </c>
      <c r="V431" s="1119">
        <f t="shared" si="76"/>
        <v>-2964.6925773814842</v>
      </c>
      <c r="W431" s="1119">
        <f t="shared" si="76"/>
        <v>233.92442910364517</v>
      </c>
      <c r="X431" s="978"/>
      <c r="Y431" s="1120">
        <f t="shared" si="71"/>
        <v>178095.29831627049</v>
      </c>
      <c r="Z431" s="1354"/>
      <c r="AA431" s="1001">
        <v>0.20323441812362217</v>
      </c>
      <c r="AB431" s="978"/>
      <c r="AC431" s="1036">
        <f t="shared" si="72"/>
        <v>0.20323441812362217</v>
      </c>
      <c r="AD431" s="783">
        <f t="shared" si="73"/>
        <v>0.20300000000000001</v>
      </c>
      <c r="AE431" s="1321"/>
      <c r="AF431" s="1322"/>
      <c r="AG431" s="740"/>
    </row>
    <row r="432" spans="1:33">
      <c r="A432" s="96">
        <v>301210</v>
      </c>
      <c r="B432" s="1286" t="s">
        <v>829</v>
      </c>
      <c r="C432" s="782">
        <f>'TAR_Tab 2_Volumina'!N435</f>
        <v>1</v>
      </c>
      <c r="D432" s="976"/>
      <c r="E432" s="1318">
        <v>35722.02781136518</v>
      </c>
      <c r="F432" s="1116">
        <f t="shared" si="67"/>
        <v>33993.081665295103</v>
      </c>
      <c r="G432" s="1116">
        <f t="shared" si="68"/>
        <v>34787.534164485827</v>
      </c>
      <c r="H432" s="976"/>
      <c r="I432" s="1117">
        <f t="shared" si="75"/>
        <v>33048.157456261535</v>
      </c>
      <c r="J432" s="1117">
        <f t="shared" si="75"/>
        <v>36526.910872710119</v>
      </c>
      <c r="K432" s="1320"/>
      <c r="L432" s="1000" t="str">
        <f t="shared" si="69"/>
        <v/>
      </c>
      <c r="M432" s="1118">
        <f t="shared" si="70"/>
        <v>34787.534164485827</v>
      </c>
      <c r="N432" s="976"/>
      <c r="O432" s="1119">
        <f t="shared" si="77"/>
        <v>-1613.3713496037913</v>
      </c>
      <c r="P432" s="1119">
        <f t="shared" si="76"/>
        <v>1669.4094408962371</v>
      </c>
      <c r="Q432" s="1119">
        <f t="shared" si="76"/>
        <v>0</v>
      </c>
      <c r="R432" s="1119">
        <f t="shared" si="76"/>
        <v>62.89083051203594</v>
      </c>
      <c r="S432" s="1119">
        <f t="shared" si="76"/>
        <v>1456.5396964682793</v>
      </c>
      <c r="T432" s="1119">
        <f t="shared" si="76"/>
        <v>-190.61821729297034</v>
      </c>
      <c r="U432" s="1119">
        <f t="shared" si="76"/>
        <v>-7.1712725559572243</v>
      </c>
      <c r="V432" s="1119">
        <f t="shared" si="76"/>
        <v>-592.93851547629686</v>
      </c>
      <c r="W432" s="1119">
        <f t="shared" si="76"/>
        <v>46.784885820729031</v>
      </c>
      <c r="X432" s="978"/>
      <c r="Y432" s="1120">
        <f t="shared" si="71"/>
        <v>35619.059663254091</v>
      </c>
      <c r="Z432" s="1354"/>
      <c r="AA432" s="1001">
        <v>0.15730563204520276</v>
      </c>
      <c r="AB432" s="978"/>
      <c r="AC432" s="1036">
        <f t="shared" si="72"/>
        <v>0.15730563204520276</v>
      </c>
      <c r="AD432" s="783">
        <f t="shared" si="73"/>
        <v>0.157</v>
      </c>
      <c r="AE432" s="1321"/>
      <c r="AF432" s="1322"/>
      <c r="AG432" s="740"/>
    </row>
    <row r="433" spans="1:33">
      <c r="A433" s="96">
        <v>301214</v>
      </c>
      <c r="B433" s="1286" t="s">
        <v>447</v>
      </c>
      <c r="C433" s="782">
        <f>'TAR_Tab 2_Volumina'!N436</f>
        <v>0</v>
      </c>
      <c r="D433" s="976"/>
      <c r="E433" s="1318">
        <v>0</v>
      </c>
      <c r="F433" s="1116">
        <f t="shared" si="67"/>
        <v>0</v>
      </c>
      <c r="G433" s="1116">
        <f t="shared" si="68"/>
        <v>0</v>
      </c>
      <c r="H433" s="976"/>
      <c r="I433" s="1117">
        <f t="shared" si="75"/>
        <v>0</v>
      </c>
      <c r="J433" s="1117">
        <f t="shared" si="75"/>
        <v>0</v>
      </c>
      <c r="K433" s="1320"/>
      <c r="L433" s="1000" t="str">
        <f t="shared" si="69"/>
        <v/>
      </c>
      <c r="M433" s="1118">
        <f t="shared" si="70"/>
        <v>0</v>
      </c>
      <c r="N433" s="976"/>
      <c r="O433" s="1119">
        <f t="shared" si="77"/>
        <v>0</v>
      </c>
      <c r="P433" s="1119">
        <f t="shared" si="76"/>
        <v>0</v>
      </c>
      <c r="Q433" s="1119">
        <f t="shared" si="76"/>
        <v>0</v>
      </c>
      <c r="R433" s="1119">
        <f t="shared" si="76"/>
        <v>0</v>
      </c>
      <c r="S433" s="1119">
        <f t="shared" si="76"/>
        <v>0</v>
      </c>
      <c r="T433" s="1119">
        <f t="shared" si="76"/>
        <v>0</v>
      </c>
      <c r="U433" s="1119">
        <f t="shared" si="76"/>
        <v>0</v>
      </c>
      <c r="V433" s="1119">
        <f t="shared" si="76"/>
        <v>0</v>
      </c>
      <c r="W433" s="1119">
        <f t="shared" si="76"/>
        <v>0</v>
      </c>
      <c r="X433" s="978"/>
      <c r="Y433" s="1120">
        <f t="shared" si="71"/>
        <v>0</v>
      </c>
      <c r="Z433" s="1354"/>
      <c r="AA433" s="1001">
        <v>0</v>
      </c>
      <c r="AB433" s="978"/>
      <c r="AC433" s="1036">
        <f t="shared" si="72"/>
        <v>0</v>
      </c>
      <c r="AD433" s="783">
        <f t="shared" si="73"/>
        <v>0</v>
      </c>
      <c r="AE433" s="1321"/>
      <c r="AF433" s="1322"/>
      <c r="AG433" s="740"/>
    </row>
    <row r="434" spans="1:33">
      <c r="A434" s="96">
        <v>301220</v>
      </c>
      <c r="B434" s="1286" t="s">
        <v>331</v>
      </c>
      <c r="C434" s="782">
        <f>'TAR_Tab 2_Volumina'!N437</f>
        <v>1</v>
      </c>
      <c r="D434" s="976"/>
      <c r="E434" s="1318">
        <v>178610.13905682589</v>
      </c>
      <c r="F434" s="1116">
        <f t="shared" si="67"/>
        <v>169965.40832647553</v>
      </c>
      <c r="G434" s="1116">
        <f t="shared" si="68"/>
        <v>173937.67082242915</v>
      </c>
      <c r="H434" s="976"/>
      <c r="I434" s="1117">
        <f t="shared" si="75"/>
        <v>165240.78728130768</v>
      </c>
      <c r="J434" s="1117">
        <f t="shared" si="75"/>
        <v>182634.55436355062</v>
      </c>
      <c r="K434" s="1320"/>
      <c r="L434" s="1000" t="str">
        <f t="shared" si="69"/>
        <v/>
      </c>
      <c r="M434" s="1118">
        <f t="shared" si="70"/>
        <v>173937.67082242915</v>
      </c>
      <c r="N434" s="976"/>
      <c r="O434" s="1119">
        <f t="shared" si="77"/>
        <v>-8066.8567480189568</v>
      </c>
      <c r="P434" s="1119">
        <f t="shared" si="76"/>
        <v>8347.0472044811868</v>
      </c>
      <c r="Q434" s="1119">
        <f t="shared" si="76"/>
        <v>0</v>
      </c>
      <c r="R434" s="1119">
        <f t="shared" si="76"/>
        <v>314.45415256017975</v>
      </c>
      <c r="S434" s="1119">
        <f t="shared" si="76"/>
        <v>7282.6984823413968</v>
      </c>
      <c r="T434" s="1119">
        <f t="shared" si="76"/>
        <v>-953.09108646485174</v>
      </c>
      <c r="U434" s="1119">
        <f t="shared" si="76"/>
        <v>-35.856362779786124</v>
      </c>
      <c r="V434" s="1119">
        <f t="shared" si="76"/>
        <v>-2964.6925773814842</v>
      </c>
      <c r="W434" s="1119">
        <f t="shared" si="76"/>
        <v>233.92442910364517</v>
      </c>
      <c r="X434" s="978"/>
      <c r="Y434" s="1120">
        <f t="shared" si="71"/>
        <v>178095.29831627049</v>
      </c>
      <c r="Z434" s="1354"/>
      <c r="AA434" s="1001">
        <v>0.1152857484143569</v>
      </c>
      <c r="AB434" s="978"/>
      <c r="AC434" s="1036">
        <f t="shared" si="72"/>
        <v>0.1152857484143569</v>
      </c>
      <c r="AD434" s="783">
        <f t="shared" si="73"/>
        <v>0.115</v>
      </c>
      <c r="AE434" s="1321"/>
      <c r="AF434" s="1322"/>
      <c r="AG434" s="740"/>
    </row>
    <row r="435" spans="1:33">
      <c r="A435" s="96">
        <v>301222</v>
      </c>
      <c r="B435" s="1286" t="s">
        <v>332</v>
      </c>
      <c r="C435" s="782">
        <f>'TAR_Tab 2_Volumina'!N438</f>
        <v>1</v>
      </c>
      <c r="D435" s="976"/>
      <c r="E435" s="1318">
        <v>178610.13905682589</v>
      </c>
      <c r="F435" s="1116">
        <f t="shared" si="67"/>
        <v>169965.40832647553</v>
      </c>
      <c r="G435" s="1116">
        <f t="shared" si="68"/>
        <v>173937.67082242915</v>
      </c>
      <c r="H435" s="976"/>
      <c r="I435" s="1117">
        <f t="shared" si="75"/>
        <v>165240.78728130768</v>
      </c>
      <c r="J435" s="1117">
        <f t="shared" si="75"/>
        <v>182634.55436355062</v>
      </c>
      <c r="K435" s="1320"/>
      <c r="L435" s="1000" t="str">
        <f t="shared" si="69"/>
        <v/>
      </c>
      <c r="M435" s="1118">
        <f t="shared" si="70"/>
        <v>173937.67082242915</v>
      </c>
      <c r="N435" s="976"/>
      <c r="O435" s="1119">
        <f t="shared" si="77"/>
        <v>-8066.8567480189568</v>
      </c>
      <c r="P435" s="1119">
        <f t="shared" si="76"/>
        <v>8347.0472044811868</v>
      </c>
      <c r="Q435" s="1119">
        <f t="shared" si="76"/>
        <v>0</v>
      </c>
      <c r="R435" s="1119">
        <f t="shared" si="76"/>
        <v>314.45415256017975</v>
      </c>
      <c r="S435" s="1119">
        <f t="shared" si="76"/>
        <v>7282.6984823413968</v>
      </c>
      <c r="T435" s="1119">
        <f t="shared" si="76"/>
        <v>-953.09108646485174</v>
      </c>
      <c r="U435" s="1119">
        <f t="shared" si="76"/>
        <v>-35.856362779786124</v>
      </c>
      <c r="V435" s="1119">
        <f t="shared" si="76"/>
        <v>-2964.6925773814842</v>
      </c>
      <c r="W435" s="1119">
        <f t="shared" si="76"/>
        <v>233.92442910364517</v>
      </c>
      <c r="X435" s="978"/>
      <c r="Y435" s="1120">
        <f t="shared" si="71"/>
        <v>178095.29831627049</v>
      </c>
      <c r="Z435" s="1354"/>
      <c r="AA435" s="1001">
        <v>5.2488820181281128E-2</v>
      </c>
      <c r="AB435" s="978"/>
      <c r="AC435" s="1036">
        <f t="shared" si="72"/>
        <v>5.2488820181281128E-2</v>
      </c>
      <c r="AD435" s="783">
        <f t="shared" si="73"/>
        <v>5.1999999999999998E-2</v>
      </c>
      <c r="AE435" s="1321"/>
      <c r="AF435" s="1322"/>
      <c r="AG435" s="740"/>
    </row>
    <row r="436" spans="1:33">
      <c r="A436" s="96">
        <v>301229</v>
      </c>
      <c r="B436" s="1286" t="s">
        <v>334</v>
      </c>
      <c r="C436" s="782">
        <f>'TAR_Tab 2_Volumina'!N439</f>
        <v>1</v>
      </c>
      <c r="D436" s="976"/>
      <c r="E436" s="1318">
        <v>35722.02781136518</v>
      </c>
      <c r="F436" s="1116">
        <f t="shared" si="67"/>
        <v>33993.081665295103</v>
      </c>
      <c r="G436" s="1116">
        <f t="shared" si="68"/>
        <v>34787.534164485827</v>
      </c>
      <c r="H436" s="976"/>
      <c r="I436" s="1117">
        <f t="shared" si="75"/>
        <v>33048.157456261535</v>
      </c>
      <c r="J436" s="1117">
        <f t="shared" si="75"/>
        <v>36526.910872710119</v>
      </c>
      <c r="K436" s="1320"/>
      <c r="L436" s="1000" t="str">
        <f t="shared" si="69"/>
        <v/>
      </c>
      <c r="M436" s="1118">
        <f t="shared" si="70"/>
        <v>34787.534164485827</v>
      </c>
      <c r="N436" s="976"/>
      <c r="O436" s="1119">
        <f t="shared" si="77"/>
        <v>-1613.3713496037913</v>
      </c>
      <c r="P436" s="1119">
        <f t="shared" si="76"/>
        <v>1669.4094408962371</v>
      </c>
      <c r="Q436" s="1119">
        <f t="shared" si="76"/>
        <v>0</v>
      </c>
      <c r="R436" s="1119">
        <f t="shared" si="76"/>
        <v>62.89083051203594</v>
      </c>
      <c r="S436" s="1119">
        <f t="shared" si="76"/>
        <v>1456.5396964682793</v>
      </c>
      <c r="T436" s="1119">
        <f t="shared" si="76"/>
        <v>-190.61821729297034</v>
      </c>
      <c r="U436" s="1119">
        <f t="shared" si="76"/>
        <v>-7.1712725559572243</v>
      </c>
      <c r="V436" s="1119">
        <f t="shared" si="76"/>
        <v>-592.93851547629686</v>
      </c>
      <c r="W436" s="1119">
        <f t="shared" si="76"/>
        <v>46.784885820729031</v>
      </c>
      <c r="X436" s="978"/>
      <c r="Y436" s="1120">
        <f t="shared" si="71"/>
        <v>35619.059663254091</v>
      </c>
      <c r="Z436" s="1354"/>
      <c r="AA436" s="1001">
        <v>0.1294808499330177</v>
      </c>
      <c r="AB436" s="978"/>
      <c r="AC436" s="1036">
        <f t="shared" si="72"/>
        <v>0.1294808499330177</v>
      </c>
      <c r="AD436" s="783">
        <f t="shared" si="73"/>
        <v>0.129</v>
      </c>
      <c r="AE436" s="1321"/>
      <c r="AF436" s="1322"/>
      <c r="AG436" s="740"/>
    </row>
    <row r="437" spans="1:33">
      <c r="A437" s="96">
        <v>301230</v>
      </c>
      <c r="B437" s="1286" t="s">
        <v>335</v>
      </c>
      <c r="C437" s="782">
        <f>'TAR_Tab 2_Volumina'!N440</f>
        <v>1</v>
      </c>
      <c r="D437" s="976"/>
      <c r="E437" s="1318">
        <v>53583.041717047774</v>
      </c>
      <c r="F437" s="1116">
        <f t="shared" si="67"/>
        <v>50989.622497942662</v>
      </c>
      <c r="G437" s="1116">
        <f t="shared" si="68"/>
        <v>52181.301246728748</v>
      </c>
      <c r="H437" s="976"/>
      <c r="I437" s="1117">
        <f t="shared" si="75"/>
        <v>49572.236184392306</v>
      </c>
      <c r="J437" s="1117">
        <f t="shared" si="75"/>
        <v>54790.36630906519</v>
      </c>
      <c r="K437" s="1320"/>
      <c r="L437" s="1000" t="str">
        <f t="shared" si="69"/>
        <v/>
      </c>
      <c r="M437" s="1118">
        <f t="shared" si="70"/>
        <v>52181.301246728748</v>
      </c>
      <c r="N437" s="976"/>
      <c r="O437" s="1119">
        <f t="shared" si="77"/>
        <v>-2420.0570244056871</v>
      </c>
      <c r="P437" s="1119">
        <f t="shared" si="76"/>
        <v>2504.114161344356</v>
      </c>
      <c r="Q437" s="1119">
        <f t="shared" si="76"/>
        <v>0</v>
      </c>
      <c r="R437" s="1119">
        <f t="shared" si="76"/>
        <v>94.336245768053928</v>
      </c>
      <c r="S437" s="1119">
        <f t="shared" si="76"/>
        <v>2184.8095447024193</v>
      </c>
      <c r="T437" s="1119">
        <f t="shared" si="76"/>
        <v>-285.92732593945556</v>
      </c>
      <c r="U437" s="1119">
        <f t="shared" si="76"/>
        <v>-10.756908833935839</v>
      </c>
      <c r="V437" s="1119">
        <f t="shared" si="76"/>
        <v>-889.40777321444534</v>
      </c>
      <c r="W437" s="1119">
        <f t="shared" si="76"/>
        <v>70.177328731093553</v>
      </c>
      <c r="X437" s="978"/>
      <c r="Y437" s="1120">
        <f t="shared" si="71"/>
        <v>53428.589494881147</v>
      </c>
      <c r="Z437" s="1354"/>
      <c r="AA437" s="1001">
        <v>0.13225810511044656</v>
      </c>
      <c r="AB437" s="978"/>
      <c r="AC437" s="1036">
        <f t="shared" si="72"/>
        <v>0.13225810511044656</v>
      </c>
      <c r="AD437" s="783">
        <f t="shared" si="73"/>
        <v>0.13200000000000001</v>
      </c>
      <c r="AE437" s="1321"/>
      <c r="AF437" s="1322"/>
      <c r="AG437" s="740"/>
    </row>
    <row r="438" spans="1:33">
      <c r="A438" s="96">
        <v>301232</v>
      </c>
      <c r="B438" s="1286" t="s">
        <v>336</v>
      </c>
      <c r="C438" s="782">
        <f>'TAR_Tab 2_Volumina'!N441</f>
        <v>1</v>
      </c>
      <c r="D438" s="976"/>
      <c r="E438" s="1318">
        <v>71444.05562273036</v>
      </c>
      <c r="F438" s="1116">
        <f t="shared" si="67"/>
        <v>67986.163330590207</v>
      </c>
      <c r="G438" s="1116">
        <f t="shared" si="68"/>
        <v>69575.068328971654</v>
      </c>
      <c r="H438" s="976"/>
      <c r="I438" s="1117">
        <f t="shared" si="75"/>
        <v>66096.31491252307</v>
      </c>
      <c r="J438" s="1117">
        <f t="shared" si="75"/>
        <v>73053.821745420239</v>
      </c>
      <c r="K438" s="1320"/>
      <c r="L438" s="1000" t="str">
        <f t="shared" si="69"/>
        <v/>
      </c>
      <c r="M438" s="1118">
        <f t="shared" si="70"/>
        <v>69575.068328971654</v>
      </c>
      <c r="N438" s="976"/>
      <c r="O438" s="1119">
        <f t="shared" si="77"/>
        <v>-3226.7426992075825</v>
      </c>
      <c r="P438" s="1119">
        <f t="shared" si="76"/>
        <v>3338.8188817924743</v>
      </c>
      <c r="Q438" s="1119">
        <f t="shared" si="76"/>
        <v>0</v>
      </c>
      <c r="R438" s="1119">
        <f t="shared" si="76"/>
        <v>125.78166102407188</v>
      </c>
      <c r="S438" s="1119">
        <f t="shared" si="76"/>
        <v>2913.0793929365586</v>
      </c>
      <c r="T438" s="1119">
        <f t="shared" si="76"/>
        <v>-381.23643458594069</v>
      </c>
      <c r="U438" s="1119">
        <f t="shared" si="76"/>
        <v>-14.342545111914449</v>
      </c>
      <c r="V438" s="1119">
        <f t="shared" si="76"/>
        <v>-1185.8770309525937</v>
      </c>
      <c r="W438" s="1119">
        <f t="shared" si="76"/>
        <v>93.569771641458061</v>
      </c>
      <c r="X438" s="978"/>
      <c r="Y438" s="1120">
        <f t="shared" si="71"/>
        <v>71238.119326508182</v>
      </c>
      <c r="Z438" s="1354"/>
      <c r="AA438" s="1001">
        <v>7.4762321912991633E-2</v>
      </c>
      <c r="AB438" s="978"/>
      <c r="AC438" s="1036">
        <f t="shared" si="72"/>
        <v>7.4762321912991633E-2</v>
      </c>
      <c r="AD438" s="783">
        <f t="shared" si="73"/>
        <v>7.4999999999999997E-2</v>
      </c>
      <c r="AE438" s="1321"/>
      <c r="AF438" s="1322"/>
      <c r="AG438" s="740"/>
    </row>
    <row r="439" spans="1:33">
      <c r="A439" s="96">
        <v>301233</v>
      </c>
      <c r="B439" s="1286" t="s">
        <v>337</v>
      </c>
      <c r="C439" s="782">
        <f>'TAR_Tab 2_Volumina'!N442</f>
        <v>1</v>
      </c>
      <c r="D439" s="976"/>
      <c r="E439" s="1318">
        <v>53583.041717047774</v>
      </c>
      <c r="F439" s="1116">
        <f t="shared" si="67"/>
        <v>50989.622497942662</v>
      </c>
      <c r="G439" s="1116">
        <f t="shared" si="68"/>
        <v>52181.301246728748</v>
      </c>
      <c r="H439" s="976"/>
      <c r="I439" s="1117">
        <f t="shared" si="75"/>
        <v>49572.236184392306</v>
      </c>
      <c r="J439" s="1117">
        <f t="shared" si="75"/>
        <v>54790.36630906519</v>
      </c>
      <c r="K439" s="1320"/>
      <c r="L439" s="1000" t="str">
        <f t="shared" si="69"/>
        <v/>
      </c>
      <c r="M439" s="1118">
        <f t="shared" si="70"/>
        <v>52181.301246728748</v>
      </c>
      <c r="N439" s="976"/>
      <c r="O439" s="1119">
        <f t="shared" si="77"/>
        <v>-2420.0570244056871</v>
      </c>
      <c r="P439" s="1119">
        <f t="shared" si="76"/>
        <v>2504.114161344356</v>
      </c>
      <c r="Q439" s="1119">
        <f t="shared" si="76"/>
        <v>0</v>
      </c>
      <c r="R439" s="1119">
        <f t="shared" si="76"/>
        <v>94.336245768053928</v>
      </c>
      <c r="S439" s="1119">
        <f t="shared" si="76"/>
        <v>2184.8095447024193</v>
      </c>
      <c r="T439" s="1119">
        <f t="shared" si="76"/>
        <v>-285.92732593945556</v>
      </c>
      <c r="U439" s="1119">
        <f t="shared" si="76"/>
        <v>-10.756908833935839</v>
      </c>
      <c r="V439" s="1119">
        <f t="shared" si="76"/>
        <v>-889.40777321444534</v>
      </c>
      <c r="W439" s="1119">
        <f t="shared" si="76"/>
        <v>70.177328731093553</v>
      </c>
      <c r="X439" s="978"/>
      <c r="Y439" s="1120">
        <f t="shared" si="71"/>
        <v>53428.589494881147</v>
      </c>
      <c r="Z439" s="1354"/>
      <c r="AA439" s="1001">
        <v>0.14158792332415213</v>
      </c>
      <c r="AB439" s="978"/>
      <c r="AC439" s="1036">
        <f t="shared" si="72"/>
        <v>0.14158792332415213</v>
      </c>
      <c r="AD439" s="783">
        <f t="shared" si="73"/>
        <v>0.14199999999999999</v>
      </c>
      <c r="AE439" s="1321"/>
      <c r="AF439" s="1322"/>
      <c r="AG439" s="740"/>
    </row>
    <row r="440" spans="1:33">
      <c r="A440" s="96">
        <v>301234</v>
      </c>
      <c r="B440" s="1286" t="s">
        <v>338</v>
      </c>
      <c r="C440" s="782">
        <f>'TAR_Tab 2_Volumina'!N443</f>
        <v>1</v>
      </c>
      <c r="D440" s="976"/>
      <c r="E440" s="1318">
        <v>35722.02781136518</v>
      </c>
      <c r="F440" s="1116">
        <f t="shared" si="67"/>
        <v>33993.081665295103</v>
      </c>
      <c r="G440" s="1116">
        <f t="shared" si="68"/>
        <v>34787.534164485827</v>
      </c>
      <c r="H440" s="976"/>
      <c r="I440" s="1117">
        <f t="shared" si="75"/>
        <v>33048.157456261535</v>
      </c>
      <c r="J440" s="1117">
        <f t="shared" si="75"/>
        <v>36526.910872710119</v>
      </c>
      <c r="K440" s="1320"/>
      <c r="L440" s="1000" t="str">
        <f t="shared" si="69"/>
        <v/>
      </c>
      <c r="M440" s="1118">
        <f t="shared" si="70"/>
        <v>34787.534164485827</v>
      </c>
      <c r="N440" s="976"/>
      <c r="O440" s="1119">
        <f t="shared" si="77"/>
        <v>-1613.3713496037913</v>
      </c>
      <c r="P440" s="1119">
        <f t="shared" si="76"/>
        <v>1669.4094408962371</v>
      </c>
      <c r="Q440" s="1119">
        <f t="shared" si="76"/>
        <v>0</v>
      </c>
      <c r="R440" s="1119">
        <f t="shared" si="76"/>
        <v>62.89083051203594</v>
      </c>
      <c r="S440" s="1119">
        <f t="shared" si="76"/>
        <v>1456.5396964682793</v>
      </c>
      <c r="T440" s="1119">
        <f t="shared" si="76"/>
        <v>-190.61821729297034</v>
      </c>
      <c r="U440" s="1119">
        <f t="shared" si="76"/>
        <v>-7.1712725559572243</v>
      </c>
      <c r="V440" s="1119">
        <f t="shared" si="76"/>
        <v>-592.93851547629686</v>
      </c>
      <c r="W440" s="1119">
        <f t="shared" si="76"/>
        <v>46.784885820729031</v>
      </c>
      <c r="X440" s="978"/>
      <c r="Y440" s="1120">
        <f t="shared" si="71"/>
        <v>35619.059663254091</v>
      </c>
      <c r="Z440" s="1354"/>
      <c r="AA440" s="1001">
        <v>7.7517765052313545E-2</v>
      </c>
      <c r="AB440" s="978"/>
      <c r="AC440" s="1036">
        <f t="shared" si="72"/>
        <v>7.7517765052313545E-2</v>
      </c>
      <c r="AD440" s="783">
        <f t="shared" si="73"/>
        <v>7.8E-2</v>
      </c>
      <c r="AE440" s="1321"/>
      <c r="AF440" s="1322"/>
      <c r="AG440" s="740"/>
    </row>
    <row r="441" spans="1:33">
      <c r="A441" s="96">
        <v>301235</v>
      </c>
      <c r="B441" s="1286" t="s">
        <v>339</v>
      </c>
      <c r="C441" s="782">
        <f>'TAR_Tab 2_Volumina'!N444</f>
        <v>1</v>
      </c>
      <c r="D441" s="976"/>
      <c r="E441" s="1318">
        <v>35722.02781136518</v>
      </c>
      <c r="F441" s="1116">
        <f t="shared" si="67"/>
        <v>33993.081665295103</v>
      </c>
      <c r="G441" s="1116">
        <f t="shared" si="68"/>
        <v>34787.534164485827</v>
      </c>
      <c r="H441" s="976"/>
      <c r="I441" s="1117">
        <f t="shared" si="75"/>
        <v>33048.157456261535</v>
      </c>
      <c r="J441" s="1117">
        <f t="shared" si="75"/>
        <v>36526.910872710119</v>
      </c>
      <c r="K441" s="1320"/>
      <c r="L441" s="1000" t="str">
        <f t="shared" si="69"/>
        <v/>
      </c>
      <c r="M441" s="1118">
        <f t="shared" si="70"/>
        <v>34787.534164485827</v>
      </c>
      <c r="N441" s="976"/>
      <c r="O441" s="1119">
        <f t="shared" si="77"/>
        <v>-1613.3713496037913</v>
      </c>
      <c r="P441" s="1119">
        <f t="shared" si="76"/>
        <v>1669.4094408962371</v>
      </c>
      <c r="Q441" s="1119">
        <f t="shared" si="76"/>
        <v>0</v>
      </c>
      <c r="R441" s="1119">
        <f t="shared" si="76"/>
        <v>62.89083051203594</v>
      </c>
      <c r="S441" s="1119">
        <f t="shared" si="76"/>
        <v>1456.5396964682793</v>
      </c>
      <c r="T441" s="1119">
        <f t="shared" si="76"/>
        <v>-190.61821729297034</v>
      </c>
      <c r="U441" s="1119">
        <f t="shared" si="76"/>
        <v>-7.1712725559572243</v>
      </c>
      <c r="V441" s="1119">
        <f t="shared" si="76"/>
        <v>-592.93851547629686</v>
      </c>
      <c r="W441" s="1119">
        <f t="shared" si="76"/>
        <v>46.784885820729031</v>
      </c>
      <c r="X441" s="978"/>
      <c r="Y441" s="1120">
        <f t="shared" si="71"/>
        <v>35619.059663254091</v>
      </c>
      <c r="Z441" s="1354"/>
      <c r="AA441" s="1001">
        <v>0.21235255638605111</v>
      </c>
      <c r="AB441" s="978"/>
      <c r="AC441" s="1036">
        <f t="shared" si="72"/>
        <v>0.21235255638605111</v>
      </c>
      <c r="AD441" s="783">
        <f t="shared" si="73"/>
        <v>0.21199999999999999</v>
      </c>
      <c r="AE441" s="1321"/>
      <c r="AF441" s="1322"/>
      <c r="AG441" s="740"/>
    </row>
    <row r="442" spans="1:33">
      <c r="A442" s="96">
        <v>301238</v>
      </c>
      <c r="B442" s="1286" t="s">
        <v>340</v>
      </c>
      <c r="C442" s="782">
        <f>'TAR_Tab 2_Volumina'!N445</f>
        <v>1</v>
      </c>
      <c r="D442" s="976"/>
      <c r="E442" s="1318">
        <v>53583.041717047774</v>
      </c>
      <c r="F442" s="1116">
        <f t="shared" si="67"/>
        <v>50989.622497942662</v>
      </c>
      <c r="G442" s="1116">
        <f t="shared" si="68"/>
        <v>52181.301246728748</v>
      </c>
      <c r="H442" s="976"/>
      <c r="I442" s="1117">
        <f t="shared" si="75"/>
        <v>49572.236184392306</v>
      </c>
      <c r="J442" s="1117">
        <f t="shared" si="75"/>
        <v>54790.36630906519</v>
      </c>
      <c r="K442" s="1320"/>
      <c r="L442" s="1000" t="str">
        <f t="shared" si="69"/>
        <v/>
      </c>
      <c r="M442" s="1118">
        <f t="shared" si="70"/>
        <v>52181.301246728748</v>
      </c>
      <c r="N442" s="976"/>
      <c r="O442" s="1119">
        <f t="shared" si="77"/>
        <v>-2420.0570244056871</v>
      </c>
      <c r="P442" s="1119">
        <f t="shared" si="76"/>
        <v>2504.114161344356</v>
      </c>
      <c r="Q442" s="1119">
        <f t="shared" si="76"/>
        <v>0</v>
      </c>
      <c r="R442" s="1119">
        <f t="shared" si="76"/>
        <v>94.336245768053928</v>
      </c>
      <c r="S442" s="1119">
        <f t="shared" si="76"/>
        <v>2184.8095447024193</v>
      </c>
      <c r="T442" s="1119">
        <f t="shared" si="76"/>
        <v>-285.92732593945556</v>
      </c>
      <c r="U442" s="1119">
        <f t="shared" si="76"/>
        <v>-10.756908833935839</v>
      </c>
      <c r="V442" s="1119">
        <f t="shared" si="76"/>
        <v>-889.40777321444534</v>
      </c>
      <c r="W442" s="1119">
        <f t="shared" si="76"/>
        <v>70.177328731093553</v>
      </c>
      <c r="X442" s="978"/>
      <c r="Y442" s="1120">
        <f t="shared" si="71"/>
        <v>53428.589494881147</v>
      </c>
      <c r="Z442" s="1354"/>
      <c r="AA442" s="1001">
        <v>0.10206692070823502</v>
      </c>
      <c r="AB442" s="978"/>
      <c r="AC442" s="1036">
        <f t="shared" si="72"/>
        <v>0.10206692070823502</v>
      </c>
      <c r="AD442" s="783">
        <f t="shared" si="73"/>
        <v>0.10199999999999999</v>
      </c>
      <c r="AE442" s="1321"/>
      <c r="AF442" s="1322"/>
      <c r="AG442" s="740"/>
    </row>
    <row r="443" spans="1:33">
      <c r="A443" s="96">
        <v>301239</v>
      </c>
      <c r="B443" s="1286" t="s">
        <v>341</v>
      </c>
      <c r="C443" s="782">
        <f>'TAR_Tab 2_Volumina'!N446</f>
        <v>1</v>
      </c>
      <c r="D443" s="976"/>
      <c r="E443" s="1318">
        <v>53583.041717047774</v>
      </c>
      <c r="F443" s="1116">
        <f t="shared" si="67"/>
        <v>50989.622497942662</v>
      </c>
      <c r="G443" s="1116">
        <f t="shared" si="68"/>
        <v>52181.301246728748</v>
      </c>
      <c r="H443" s="976"/>
      <c r="I443" s="1117">
        <f t="shared" si="75"/>
        <v>49572.236184392306</v>
      </c>
      <c r="J443" s="1117">
        <f t="shared" si="75"/>
        <v>54790.36630906519</v>
      </c>
      <c r="K443" s="1320"/>
      <c r="L443" s="1000" t="str">
        <f t="shared" si="69"/>
        <v/>
      </c>
      <c r="M443" s="1118">
        <f t="shared" si="70"/>
        <v>52181.301246728748</v>
      </c>
      <c r="N443" s="976"/>
      <c r="O443" s="1119">
        <f t="shared" si="77"/>
        <v>-2420.0570244056871</v>
      </c>
      <c r="P443" s="1119">
        <f t="shared" si="76"/>
        <v>2504.114161344356</v>
      </c>
      <c r="Q443" s="1119">
        <f t="shared" si="76"/>
        <v>0</v>
      </c>
      <c r="R443" s="1119">
        <f t="shared" si="76"/>
        <v>94.336245768053928</v>
      </c>
      <c r="S443" s="1119">
        <f t="shared" si="76"/>
        <v>2184.8095447024193</v>
      </c>
      <c r="T443" s="1119">
        <f t="shared" si="76"/>
        <v>-285.92732593945556</v>
      </c>
      <c r="U443" s="1119">
        <f t="shared" si="76"/>
        <v>-10.756908833935839</v>
      </c>
      <c r="V443" s="1119">
        <f t="shared" si="76"/>
        <v>-889.40777321444534</v>
      </c>
      <c r="W443" s="1119">
        <f t="shared" si="76"/>
        <v>70.177328731093553</v>
      </c>
      <c r="X443" s="978"/>
      <c r="Y443" s="1120">
        <f t="shared" si="71"/>
        <v>53428.589494881147</v>
      </c>
      <c r="Z443" s="1354"/>
      <c r="AA443" s="1001">
        <v>0.13183452923732858</v>
      </c>
      <c r="AB443" s="978"/>
      <c r="AC443" s="1036">
        <f t="shared" si="72"/>
        <v>0.13183452923732858</v>
      </c>
      <c r="AD443" s="783">
        <f t="shared" si="73"/>
        <v>0.13200000000000001</v>
      </c>
      <c r="AE443" s="1321"/>
      <c r="AF443" s="1322"/>
      <c r="AG443" s="740"/>
    </row>
    <row r="444" spans="1:33">
      <c r="A444" s="96">
        <v>301240</v>
      </c>
      <c r="B444" s="1286" t="s">
        <v>342</v>
      </c>
      <c r="C444" s="782">
        <f>'TAR_Tab 2_Volumina'!N447</f>
        <v>1</v>
      </c>
      <c r="D444" s="976"/>
      <c r="E444" s="1318">
        <v>178610.13905682589</v>
      </c>
      <c r="F444" s="1116">
        <f t="shared" si="67"/>
        <v>169965.40832647553</v>
      </c>
      <c r="G444" s="1116">
        <f t="shared" si="68"/>
        <v>173937.67082242915</v>
      </c>
      <c r="H444" s="976"/>
      <c r="I444" s="1117">
        <f t="shared" si="75"/>
        <v>165240.78728130768</v>
      </c>
      <c r="J444" s="1117">
        <f t="shared" si="75"/>
        <v>182634.55436355062</v>
      </c>
      <c r="K444" s="1320"/>
      <c r="L444" s="1000" t="str">
        <f t="shared" si="69"/>
        <v/>
      </c>
      <c r="M444" s="1118">
        <f t="shared" si="70"/>
        <v>173937.67082242915</v>
      </c>
      <c r="N444" s="976"/>
      <c r="O444" s="1119">
        <f t="shared" si="77"/>
        <v>-8066.8567480189568</v>
      </c>
      <c r="P444" s="1119">
        <f t="shared" si="76"/>
        <v>8347.0472044811868</v>
      </c>
      <c r="Q444" s="1119">
        <f t="shared" si="76"/>
        <v>0</v>
      </c>
      <c r="R444" s="1119">
        <f t="shared" si="76"/>
        <v>314.45415256017975</v>
      </c>
      <c r="S444" s="1119">
        <f t="shared" si="76"/>
        <v>7282.6984823413968</v>
      </c>
      <c r="T444" s="1119">
        <f t="shared" si="76"/>
        <v>-953.09108646485174</v>
      </c>
      <c r="U444" s="1119">
        <f t="shared" si="76"/>
        <v>-35.856362779786124</v>
      </c>
      <c r="V444" s="1119">
        <f t="shared" si="76"/>
        <v>-2964.6925773814842</v>
      </c>
      <c r="W444" s="1119">
        <f t="shared" si="76"/>
        <v>233.92442910364517</v>
      </c>
      <c r="X444" s="978"/>
      <c r="Y444" s="1120">
        <f t="shared" si="71"/>
        <v>178095.29831627049</v>
      </c>
      <c r="Z444" s="1354"/>
      <c r="AA444" s="1001">
        <v>0.14355058997256434</v>
      </c>
      <c r="AB444" s="978"/>
      <c r="AC444" s="1036">
        <f t="shared" si="72"/>
        <v>0.14355058997256434</v>
      </c>
      <c r="AD444" s="783">
        <f t="shared" si="73"/>
        <v>0.14399999999999999</v>
      </c>
      <c r="AE444" s="1321"/>
      <c r="AF444" s="1322"/>
      <c r="AG444" s="740"/>
    </row>
    <row r="445" spans="1:33">
      <c r="A445" s="96">
        <v>301241</v>
      </c>
      <c r="B445" s="1286" t="s">
        <v>343</v>
      </c>
      <c r="C445" s="782">
        <f>'TAR_Tab 2_Volumina'!N448</f>
        <v>1</v>
      </c>
      <c r="D445" s="976"/>
      <c r="E445" s="1318">
        <v>71444.05562273036</v>
      </c>
      <c r="F445" s="1116">
        <f t="shared" si="67"/>
        <v>67986.163330590207</v>
      </c>
      <c r="G445" s="1116">
        <f t="shared" si="68"/>
        <v>69575.068328971654</v>
      </c>
      <c r="H445" s="976"/>
      <c r="I445" s="1117">
        <f t="shared" si="75"/>
        <v>66096.31491252307</v>
      </c>
      <c r="J445" s="1117">
        <f t="shared" si="75"/>
        <v>73053.821745420239</v>
      </c>
      <c r="K445" s="1320"/>
      <c r="L445" s="1000" t="str">
        <f t="shared" si="69"/>
        <v/>
      </c>
      <c r="M445" s="1118">
        <f t="shared" si="70"/>
        <v>69575.068328971654</v>
      </c>
      <c r="N445" s="976"/>
      <c r="O445" s="1119">
        <f t="shared" si="77"/>
        <v>-3226.7426992075825</v>
      </c>
      <c r="P445" s="1119">
        <f t="shared" si="76"/>
        <v>3338.8188817924743</v>
      </c>
      <c r="Q445" s="1119">
        <f t="shared" si="76"/>
        <v>0</v>
      </c>
      <c r="R445" s="1119">
        <f t="shared" si="76"/>
        <v>125.78166102407188</v>
      </c>
      <c r="S445" s="1119">
        <f t="shared" si="76"/>
        <v>2913.0793929365586</v>
      </c>
      <c r="T445" s="1119">
        <f t="shared" si="76"/>
        <v>-381.23643458594069</v>
      </c>
      <c r="U445" s="1119">
        <f t="shared" si="76"/>
        <v>-14.342545111914449</v>
      </c>
      <c r="V445" s="1119">
        <f t="shared" si="76"/>
        <v>-1185.8770309525937</v>
      </c>
      <c r="W445" s="1119">
        <f t="shared" si="76"/>
        <v>93.569771641458061</v>
      </c>
      <c r="X445" s="978"/>
      <c r="Y445" s="1120">
        <f t="shared" si="71"/>
        <v>71238.119326508182</v>
      </c>
      <c r="Z445" s="1354"/>
      <c r="AA445" s="1001">
        <v>8.2858514295535923E-2</v>
      </c>
      <c r="AB445" s="978"/>
      <c r="AC445" s="1036">
        <f t="shared" si="72"/>
        <v>8.2858514295535923E-2</v>
      </c>
      <c r="AD445" s="783">
        <f t="shared" si="73"/>
        <v>8.3000000000000004E-2</v>
      </c>
      <c r="AE445" s="1321"/>
      <c r="AF445" s="1322"/>
      <c r="AG445" s="740"/>
    </row>
    <row r="446" spans="1:33">
      <c r="A446" s="96">
        <v>301242</v>
      </c>
      <c r="B446" s="1286" t="s">
        <v>344</v>
      </c>
      <c r="C446" s="782">
        <f>'TAR_Tab 2_Volumina'!N449</f>
        <v>1</v>
      </c>
      <c r="D446" s="976"/>
      <c r="E446" s="1318">
        <v>107166.08343409555</v>
      </c>
      <c r="F446" s="1116">
        <f t="shared" si="67"/>
        <v>101979.24499588532</v>
      </c>
      <c r="G446" s="1116">
        <f t="shared" si="68"/>
        <v>104362.6024934575</v>
      </c>
      <c r="H446" s="976"/>
      <c r="I446" s="1117">
        <f t="shared" si="75"/>
        <v>99144.472368784613</v>
      </c>
      <c r="J446" s="1117">
        <f t="shared" si="75"/>
        <v>109580.73261813038</v>
      </c>
      <c r="K446" s="1320"/>
      <c r="L446" s="1000" t="str">
        <f t="shared" si="69"/>
        <v/>
      </c>
      <c r="M446" s="1118">
        <f t="shared" si="70"/>
        <v>104362.6024934575</v>
      </c>
      <c r="N446" s="976"/>
      <c r="O446" s="1119">
        <f t="shared" si="77"/>
        <v>-4840.1140488113742</v>
      </c>
      <c r="P446" s="1119">
        <f t="shared" si="76"/>
        <v>5008.2283226887121</v>
      </c>
      <c r="Q446" s="1119">
        <f t="shared" si="76"/>
        <v>0</v>
      </c>
      <c r="R446" s="1119">
        <f t="shared" si="76"/>
        <v>188.67249153610786</v>
      </c>
      <c r="S446" s="1119">
        <f t="shared" si="76"/>
        <v>4369.6190894048386</v>
      </c>
      <c r="T446" s="1119">
        <f t="shared" si="76"/>
        <v>-571.85465187891111</v>
      </c>
      <c r="U446" s="1119">
        <f t="shared" si="76"/>
        <v>-21.513817667871677</v>
      </c>
      <c r="V446" s="1119">
        <f t="shared" si="76"/>
        <v>-1778.8155464288907</v>
      </c>
      <c r="W446" s="1119">
        <f t="shared" si="76"/>
        <v>140.35465746218711</v>
      </c>
      <c r="X446" s="978"/>
      <c r="Y446" s="1120">
        <f t="shared" si="71"/>
        <v>106857.17898976229</v>
      </c>
      <c r="Z446" s="1354"/>
      <c r="AA446" s="1001">
        <v>0.15100348919215303</v>
      </c>
      <c r="AB446" s="978"/>
      <c r="AC446" s="1036">
        <f t="shared" si="72"/>
        <v>0.15100348919215303</v>
      </c>
      <c r="AD446" s="783">
        <f t="shared" si="73"/>
        <v>0.151</v>
      </c>
      <c r="AE446" s="1321"/>
      <c r="AF446" s="1322"/>
      <c r="AG446" s="740"/>
    </row>
    <row r="447" spans="1:33">
      <c r="A447" s="96">
        <v>301243</v>
      </c>
      <c r="B447" s="1286" t="s">
        <v>345</v>
      </c>
      <c r="C447" s="782">
        <f>'TAR_Tab 2_Volumina'!N450</f>
        <v>1</v>
      </c>
      <c r="D447" s="976"/>
      <c r="E447" s="1318">
        <v>89305.069528412947</v>
      </c>
      <c r="F447" s="1116">
        <f t="shared" si="67"/>
        <v>84982.704163237766</v>
      </c>
      <c r="G447" s="1116">
        <f t="shared" si="68"/>
        <v>86968.835411214575</v>
      </c>
      <c r="H447" s="976"/>
      <c r="I447" s="1117">
        <f t="shared" si="75"/>
        <v>82620.393640653841</v>
      </c>
      <c r="J447" s="1117">
        <f t="shared" si="75"/>
        <v>91317.277181775309</v>
      </c>
      <c r="K447" s="1320"/>
      <c r="L447" s="1000" t="str">
        <f t="shared" si="69"/>
        <v/>
      </c>
      <c r="M447" s="1118">
        <f t="shared" si="70"/>
        <v>86968.835411214575</v>
      </c>
      <c r="N447" s="976"/>
      <c r="O447" s="1119">
        <f t="shared" si="77"/>
        <v>-4033.4283740094784</v>
      </c>
      <c r="P447" s="1119">
        <f t="shared" si="76"/>
        <v>4173.5236022405934</v>
      </c>
      <c r="Q447" s="1119">
        <f t="shared" si="76"/>
        <v>0</v>
      </c>
      <c r="R447" s="1119">
        <f t="shared" si="76"/>
        <v>157.22707628008988</v>
      </c>
      <c r="S447" s="1119">
        <f t="shared" si="76"/>
        <v>3641.3492411706984</v>
      </c>
      <c r="T447" s="1119">
        <f t="shared" si="76"/>
        <v>-476.54554323242587</v>
      </c>
      <c r="U447" s="1119">
        <f t="shared" si="76"/>
        <v>-17.928181389893062</v>
      </c>
      <c r="V447" s="1119">
        <f t="shared" si="76"/>
        <v>-1482.3462886907421</v>
      </c>
      <c r="W447" s="1119">
        <f t="shared" si="76"/>
        <v>116.96221455182258</v>
      </c>
      <c r="X447" s="978"/>
      <c r="Y447" s="1120">
        <f t="shared" si="71"/>
        <v>89047.649158135246</v>
      </c>
      <c r="Z447" s="1354"/>
      <c r="AA447" s="1001">
        <v>0.16116091333447655</v>
      </c>
      <c r="AB447" s="978"/>
      <c r="AC447" s="1036">
        <f t="shared" si="72"/>
        <v>0.16116091333447655</v>
      </c>
      <c r="AD447" s="783">
        <f t="shared" si="73"/>
        <v>0.161</v>
      </c>
      <c r="AE447" s="1321"/>
      <c r="AF447" s="1322"/>
      <c r="AG447" s="740"/>
    </row>
    <row r="448" spans="1:33">
      <c r="A448" s="96">
        <v>301244</v>
      </c>
      <c r="B448" s="1286" t="s">
        <v>346</v>
      </c>
      <c r="C448" s="782">
        <f>'TAR_Tab 2_Volumina'!N451</f>
        <v>1</v>
      </c>
      <c r="D448" s="976"/>
      <c r="E448" s="1318">
        <v>35722.02781136518</v>
      </c>
      <c r="F448" s="1116">
        <f t="shared" si="67"/>
        <v>33993.081665295103</v>
      </c>
      <c r="G448" s="1116">
        <f t="shared" si="68"/>
        <v>34787.534164485827</v>
      </c>
      <c r="H448" s="976"/>
      <c r="I448" s="1117">
        <f t="shared" si="75"/>
        <v>33048.157456261535</v>
      </c>
      <c r="J448" s="1117">
        <f t="shared" si="75"/>
        <v>36526.910872710119</v>
      </c>
      <c r="K448" s="1320"/>
      <c r="L448" s="1000" t="str">
        <f t="shared" si="69"/>
        <v/>
      </c>
      <c r="M448" s="1118">
        <f t="shared" si="70"/>
        <v>34787.534164485827</v>
      </c>
      <c r="N448" s="976"/>
      <c r="O448" s="1119">
        <f t="shared" si="77"/>
        <v>-1613.3713496037913</v>
      </c>
      <c r="P448" s="1119">
        <f t="shared" si="76"/>
        <v>1669.4094408962371</v>
      </c>
      <c r="Q448" s="1119">
        <f t="shared" si="76"/>
        <v>0</v>
      </c>
      <c r="R448" s="1119">
        <f t="shared" si="76"/>
        <v>62.89083051203594</v>
      </c>
      <c r="S448" s="1119">
        <f t="shared" si="76"/>
        <v>1456.5396964682793</v>
      </c>
      <c r="T448" s="1119">
        <f t="shared" si="76"/>
        <v>-190.61821729297034</v>
      </c>
      <c r="U448" s="1119">
        <f t="shared" si="76"/>
        <v>-7.1712725559572243</v>
      </c>
      <c r="V448" s="1119">
        <f t="shared" si="76"/>
        <v>-592.93851547629686</v>
      </c>
      <c r="W448" s="1119">
        <f t="shared" si="76"/>
        <v>46.784885820729031</v>
      </c>
      <c r="X448" s="978"/>
      <c r="Y448" s="1120">
        <f t="shared" si="71"/>
        <v>35619.059663254091</v>
      </c>
      <c r="Z448" s="1354"/>
      <c r="AA448" s="1001">
        <v>7.0583283570030256E-2</v>
      </c>
      <c r="AB448" s="978"/>
      <c r="AC448" s="1036">
        <f t="shared" si="72"/>
        <v>7.0583283570030256E-2</v>
      </c>
      <c r="AD448" s="783">
        <f t="shared" si="73"/>
        <v>7.0999999999999994E-2</v>
      </c>
      <c r="AE448" s="1321"/>
      <c r="AF448" s="1322"/>
      <c r="AG448" s="740"/>
    </row>
    <row r="449" spans="1:33">
      <c r="A449" s="96">
        <v>301245</v>
      </c>
      <c r="B449" s="1286" t="s">
        <v>347</v>
      </c>
      <c r="C449" s="782">
        <f>'TAR_Tab 2_Volumina'!N452</f>
        <v>1</v>
      </c>
      <c r="D449" s="976"/>
      <c r="E449" s="1318">
        <v>142888.11124546072</v>
      </c>
      <c r="F449" s="1116">
        <f t="shared" si="67"/>
        <v>135972.32666118041</v>
      </c>
      <c r="G449" s="1116">
        <f t="shared" si="68"/>
        <v>139150.13665794331</v>
      </c>
      <c r="H449" s="976"/>
      <c r="I449" s="1117">
        <f t="shared" si="75"/>
        <v>132192.62982504614</v>
      </c>
      <c r="J449" s="1117">
        <f t="shared" si="75"/>
        <v>146107.64349084048</v>
      </c>
      <c r="K449" s="1320"/>
      <c r="L449" s="1000" t="str">
        <f t="shared" si="69"/>
        <v/>
      </c>
      <c r="M449" s="1118">
        <f t="shared" si="70"/>
        <v>139150.13665794331</v>
      </c>
      <c r="N449" s="976"/>
      <c r="O449" s="1119">
        <f t="shared" si="77"/>
        <v>-6453.485398415165</v>
      </c>
      <c r="P449" s="1119">
        <f t="shared" si="76"/>
        <v>6677.6377635849485</v>
      </c>
      <c r="Q449" s="1119">
        <f t="shared" si="76"/>
        <v>0</v>
      </c>
      <c r="R449" s="1119">
        <f t="shared" si="76"/>
        <v>251.56332204814376</v>
      </c>
      <c r="S449" s="1119">
        <f t="shared" si="76"/>
        <v>5826.1587858731173</v>
      </c>
      <c r="T449" s="1119">
        <f t="shared" si="76"/>
        <v>-762.47286917188137</v>
      </c>
      <c r="U449" s="1119">
        <f t="shared" si="76"/>
        <v>-28.685090223828897</v>
      </c>
      <c r="V449" s="1119">
        <f t="shared" si="76"/>
        <v>-2371.7540619051874</v>
      </c>
      <c r="W449" s="1119">
        <f t="shared" si="76"/>
        <v>187.13954328291612</v>
      </c>
      <c r="X449" s="978"/>
      <c r="Y449" s="1120">
        <f t="shared" si="71"/>
        <v>142476.23865301636</v>
      </c>
      <c r="Z449" s="1354"/>
      <c r="AA449" s="1001">
        <v>0.10699811974395132</v>
      </c>
      <c r="AB449" s="978"/>
      <c r="AC449" s="1036">
        <f t="shared" si="72"/>
        <v>0.10699811974395132</v>
      </c>
      <c r="AD449" s="783">
        <f t="shared" si="73"/>
        <v>0.107</v>
      </c>
      <c r="AE449" s="1321"/>
      <c r="AF449" s="1322"/>
      <c r="AG449" s="740"/>
    </row>
    <row r="450" spans="1:33">
      <c r="A450" s="96">
        <v>301246</v>
      </c>
      <c r="B450" s="1286" t="s">
        <v>348</v>
      </c>
      <c r="C450" s="782">
        <f>'TAR_Tab 2_Volumina'!N453</f>
        <v>1</v>
      </c>
      <c r="D450" s="976"/>
      <c r="E450" s="1318">
        <v>142888.11124546072</v>
      </c>
      <c r="F450" s="1116">
        <f t="shared" si="67"/>
        <v>135972.32666118041</v>
      </c>
      <c r="G450" s="1116">
        <f t="shared" si="68"/>
        <v>139150.13665794331</v>
      </c>
      <c r="H450" s="976"/>
      <c r="I450" s="1117">
        <f t="shared" si="75"/>
        <v>132192.62982504614</v>
      </c>
      <c r="J450" s="1117">
        <f t="shared" si="75"/>
        <v>146107.64349084048</v>
      </c>
      <c r="K450" s="1320"/>
      <c r="L450" s="1000" t="str">
        <f t="shared" si="69"/>
        <v/>
      </c>
      <c r="M450" s="1118">
        <f t="shared" si="70"/>
        <v>139150.13665794331</v>
      </c>
      <c r="N450" s="976"/>
      <c r="O450" s="1119">
        <f t="shared" si="77"/>
        <v>-6453.485398415165</v>
      </c>
      <c r="P450" s="1119">
        <f t="shared" si="76"/>
        <v>6677.6377635849485</v>
      </c>
      <c r="Q450" s="1119">
        <f t="shared" si="76"/>
        <v>0</v>
      </c>
      <c r="R450" s="1119">
        <f t="shared" si="76"/>
        <v>251.56332204814376</v>
      </c>
      <c r="S450" s="1119">
        <f t="shared" si="76"/>
        <v>5826.1587858731173</v>
      </c>
      <c r="T450" s="1119">
        <f t="shared" si="76"/>
        <v>-762.47286917188137</v>
      </c>
      <c r="U450" s="1119">
        <f t="shared" si="76"/>
        <v>-28.685090223828897</v>
      </c>
      <c r="V450" s="1119">
        <f t="shared" si="76"/>
        <v>-2371.7540619051874</v>
      </c>
      <c r="W450" s="1119">
        <f t="shared" si="76"/>
        <v>187.13954328291612</v>
      </c>
      <c r="X450" s="978"/>
      <c r="Y450" s="1120">
        <f t="shared" si="71"/>
        <v>142476.23865301636</v>
      </c>
      <c r="Z450" s="1354"/>
      <c r="AA450" s="1001">
        <v>0.18512573504962831</v>
      </c>
      <c r="AB450" s="978"/>
      <c r="AC450" s="1036">
        <f t="shared" si="72"/>
        <v>0.18512573504962831</v>
      </c>
      <c r="AD450" s="783">
        <f t="shared" si="73"/>
        <v>0.185</v>
      </c>
      <c r="AE450" s="1321"/>
      <c r="AF450" s="1322"/>
      <c r="AG450" s="740"/>
    </row>
    <row r="451" spans="1:33">
      <c r="A451" s="96">
        <v>301248</v>
      </c>
      <c r="B451" s="1286" t="s">
        <v>349</v>
      </c>
      <c r="C451" s="782">
        <f>'TAR_Tab 2_Volumina'!N454</f>
        <v>1</v>
      </c>
      <c r="D451" s="976"/>
      <c r="E451" s="1318">
        <v>196471.15296250849</v>
      </c>
      <c r="F451" s="1116">
        <f t="shared" si="67"/>
        <v>186961.94915912309</v>
      </c>
      <c r="G451" s="1116">
        <f t="shared" si="68"/>
        <v>191331.43790467209</v>
      </c>
      <c r="H451" s="976"/>
      <c r="I451" s="1117">
        <f t="shared" si="75"/>
        <v>181764.86600943847</v>
      </c>
      <c r="J451" s="1117">
        <f t="shared" si="75"/>
        <v>200898.0097999057</v>
      </c>
      <c r="K451" s="1320"/>
      <c r="L451" s="1000" t="str">
        <f t="shared" si="69"/>
        <v/>
      </c>
      <c r="M451" s="1118">
        <f t="shared" si="70"/>
        <v>191331.43790467209</v>
      </c>
      <c r="N451" s="976"/>
      <c r="O451" s="1119">
        <f t="shared" si="77"/>
        <v>-8873.542422820854</v>
      </c>
      <c r="P451" s="1119">
        <f t="shared" si="76"/>
        <v>9181.7519249293055</v>
      </c>
      <c r="Q451" s="1119">
        <f t="shared" si="76"/>
        <v>0</v>
      </c>
      <c r="R451" s="1119">
        <f t="shared" si="76"/>
        <v>345.89956781619776</v>
      </c>
      <c r="S451" s="1119">
        <f t="shared" si="76"/>
        <v>8010.968330575537</v>
      </c>
      <c r="T451" s="1119">
        <f t="shared" si="76"/>
        <v>-1048.4001951113371</v>
      </c>
      <c r="U451" s="1119">
        <f t="shared" si="76"/>
        <v>-39.44199905776474</v>
      </c>
      <c r="V451" s="1119">
        <f t="shared" si="76"/>
        <v>-3261.161835119633</v>
      </c>
      <c r="W451" s="1119">
        <f t="shared" si="76"/>
        <v>257.31687201400973</v>
      </c>
      <c r="X451" s="978"/>
      <c r="Y451" s="1120">
        <f t="shared" si="71"/>
        <v>195904.82814789756</v>
      </c>
      <c r="Z451" s="1354"/>
      <c r="AA451" s="1001">
        <v>0.11333930020427822</v>
      </c>
      <c r="AB451" s="978"/>
      <c r="AC451" s="1036">
        <f t="shared" si="72"/>
        <v>0.11333930020427822</v>
      </c>
      <c r="AD451" s="783">
        <f t="shared" si="73"/>
        <v>0.113</v>
      </c>
      <c r="AE451" s="1321"/>
      <c r="AF451" s="1322"/>
      <c r="AG451" s="740"/>
    </row>
    <row r="452" spans="1:33">
      <c r="A452" s="96">
        <v>301249</v>
      </c>
      <c r="B452" s="1286" t="s">
        <v>350</v>
      </c>
      <c r="C452" s="782">
        <f>'TAR_Tab 2_Volumina'!N455</f>
        <v>1</v>
      </c>
      <c r="D452" s="976"/>
      <c r="E452" s="1318">
        <v>71444.05562273036</v>
      </c>
      <c r="F452" s="1116">
        <f t="shared" si="67"/>
        <v>67986.163330590207</v>
      </c>
      <c r="G452" s="1116">
        <f t="shared" si="68"/>
        <v>69575.068328971654</v>
      </c>
      <c r="H452" s="976"/>
      <c r="I452" s="1117">
        <f t="shared" si="75"/>
        <v>66096.31491252307</v>
      </c>
      <c r="J452" s="1117">
        <f t="shared" si="75"/>
        <v>73053.821745420239</v>
      </c>
      <c r="K452" s="1320"/>
      <c r="L452" s="1000" t="str">
        <f t="shared" si="69"/>
        <v/>
      </c>
      <c r="M452" s="1118">
        <f t="shared" si="70"/>
        <v>69575.068328971654</v>
      </c>
      <c r="N452" s="976"/>
      <c r="O452" s="1119">
        <f t="shared" si="77"/>
        <v>-3226.7426992075825</v>
      </c>
      <c r="P452" s="1119">
        <f t="shared" si="76"/>
        <v>3338.8188817924743</v>
      </c>
      <c r="Q452" s="1119">
        <f t="shared" si="76"/>
        <v>0</v>
      </c>
      <c r="R452" s="1119">
        <f t="shared" si="76"/>
        <v>125.78166102407188</v>
      </c>
      <c r="S452" s="1119">
        <f t="shared" si="76"/>
        <v>2913.0793929365586</v>
      </c>
      <c r="T452" s="1119">
        <f t="shared" si="76"/>
        <v>-381.23643458594069</v>
      </c>
      <c r="U452" s="1119">
        <f t="shared" si="76"/>
        <v>-14.342545111914449</v>
      </c>
      <c r="V452" s="1119">
        <f t="shared" si="76"/>
        <v>-1185.8770309525937</v>
      </c>
      <c r="W452" s="1119">
        <f t="shared" si="76"/>
        <v>93.569771641458061</v>
      </c>
      <c r="X452" s="978"/>
      <c r="Y452" s="1120">
        <f t="shared" si="71"/>
        <v>71238.119326508182</v>
      </c>
      <c r="Z452" s="1354"/>
      <c r="AA452" s="1001">
        <v>0.1594947213801533</v>
      </c>
      <c r="AB452" s="978"/>
      <c r="AC452" s="1036">
        <f t="shared" si="72"/>
        <v>0.1594947213801533</v>
      </c>
      <c r="AD452" s="783">
        <f t="shared" si="73"/>
        <v>0.159</v>
      </c>
      <c r="AE452" s="1321"/>
      <c r="AF452" s="1322"/>
      <c r="AG452" s="740"/>
    </row>
    <row r="453" spans="1:33">
      <c r="A453" s="96">
        <v>301250</v>
      </c>
      <c r="B453" s="1286" t="s">
        <v>351</v>
      </c>
      <c r="C453" s="782">
        <f>'TAR_Tab 2_Volumina'!N456</f>
        <v>1</v>
      </c>
      <c r="D453" s="976"/>
      <c r="E453" s="1318">
        <v>89305.069528412947</v>
      </c>
      <c r="F453" s="1116">
        <f t="shared" si="67"/>
        <v>84982.704163237766</v>
      </c>
      <c r="G453" s="1116">
        <f t="shared" si="68"/>
        <v>86968.835411214575</v>
      </c>
      <c r="H453" s="976"/>
      <c r="I453" s="1117">
        <f t="shared" si="75"/>
        <v>82620.393640653841</v>
      </c>
      <c r="J453" s="1117">
        <f t="shared" si="75"/>
        <v>91317.277181775309</v>
      </c>
      <c r="K453" s="1320"/>
      <c r="L453" s="1000" t="str">
        <f t="shared" si="69"/>
        <v/>
      </c>
      <c r="M453" s="1118">
        <f t="shared" si="70"/>
        <v>86968.835411214575</v>
      </c>
      <c r="N453" s="976"/>
      <c r="O453" s="1119">
        <f t="shared" si="77"/>
        <v>-4033.4283740094784</v>
      </c>
      <c r="P453" s="1119">
        <f t="shared" si="76"/>
        <v>4173.5236022405934</v>
      </c>
      <c r="Q453" s="1119">
        <f t="shared" si="76"/>
        <v>0</v>
      </c>
      <c r="R453" s="1119">
        <f t="shared" si="76"/>
        <v>157.22707628008988</v>
      </c>
      <c r="S453" s="1119">
        <f t="shared" si="76"/>
        <v>3641.3492411706984</v>
      </c>
      <c r="T453" s="1119">
        <f t="shared" si="76"/>
        <v>-476.54554323242587</v>
      </c>
      <c r="U453" s="1119">
        <f t="shared" si="76"/>
        <v>-17.928181389893062</v>
      </c>
      <c r="V453" s="1119">
        <f t="shared" si="76"/>
        <v>-1482.3462886907421</v>
      </c>
      <c r="W453" s="1119">
        <f t="shared" si="76"/>
        <v>116.96221455182258</v>
      </c>
      <c r="X453" s="978"/>
      <c r="Y453" s="1120">
        <f t="shared" si="71"/>
        <v>89047.649158135246</v>
      </c>
      <c r="Z453" s="1354"/>
      <c r="AA453" s="1001">
        <v>0.7619236115283069</v>
      </c>
      <c r="AB453" s="978"/>
      <c r="AC453" s="1036">
        <f t="shared" si="72"/>
        <v>0.7619236115283069</v>
      </c>
      <c r="AD453" s="783">
        <f t="shared" si="73"/>
        <v>0.76200000000000001</v>
      </c>
      <c r="AE453" s="1321"/>
      <c r="AF453" s="1322"/>
      <c r="AG453" s="740"/>
    </row>
    <row r="454" spans="1:33">
      <c r="A454" s="96">
        <v>301251</v>
      </c>
      <c r="B454" s="1286" t="s">
        <v>352</v>
      </c>
      <c r="C454" s="782">
        <f>'TAR_Tab 2_Volumina'!N457</f>
        <v>1</v>
      </c>
      <c r="D454" s="976"/>
      <c r="E454" s="1318">
        <v>89305.069528412947</v>
      </c>
      <c r="F454" s="1116">
        <f t="shared" si="67"/>
        <v>84982.704163237766</v>
      </c>
      <c r="G454" s="1116">
        <f t="shared" si="68"/>
        <v>86968.835411214575</v>
      </c>
      <c r="H454" s="976"/>
      <c r="I454" s="1117">
        <f t="shared" si="75"/>
        <v>82620.393640653841</v>
      </c>
      <c r="J454" s="1117">
        <f t="shared" si="75"/>
        <v>91317.277181775309</v>
      </c>
      <c r="K454" s="1320"/>
      <c r="L454" s="1000" t="str">
        <f t="shared" si="69"/>
        <v/>
      </c>
      <c r="M454" s="1118">
        <f t="shared" si="70"/>
        <v>86968.835411214575</v>
      </c>
      <c r="N454" s="976"/>
      <c r="O454" s="1119">
        <f t="shared" si="77"/>
        <v>-4033.4283740094784</v>
      </c>
      <c r="P454" s="1119">
        <f t="shared" si="76"/>
        <v>4173.5236022405934</v>
      </c>
      <c r="Q454" s="1119">
        <f t="shared" si="76"/>
        <v>0</v>
      </c>
      <c r="R454" s="1119">
        <f t="shared" si="76"/>
        <v>157.22707628008988</v>
      </c>
      <c r="S454" s="1119">
        <f t="shared" si="76"/>
        <v>3641.3492411706984</v>
      </c>
      <c r="T454" s="1119">
        <f t="shared" si="76"/>
        <v>-476.54554323242587</v>
      </c>
      <c r="U454" s="1119">
        <f t="shared" si="76"/>
        <v>-17.928181389893062</v>
      </c>
      <c r="V454" s="1119">
        <f t="shared" si="76"/>
        <v>-1482.3462886907421</v>
      </c>
      <c r="W454" s="1119">
        <f t="shared" si="76"/>
        <v>116.96221455182258</v>
      </c>
      <c r="X454" s="978"/>
      <c r="Y454" s="1120">
        <f t="shared" si="71"/>
        <v>89047.649158135246</v>
      </c>
      <c r="Z454" s="1354"/>
      <c r="AA454" s="1001">
        <v>0.2949775078214521</v>
      </c>
      <c r="AB454" s="978"/>
      <c r="AC454" s="1036">
        <f t="shared" si="72"/>
        <v>0.2949775078214521</v>
      </c>
      <c r="AD454" s="783">
        <f t="shared" si="73"/>
        <v>0.29499999999999998</v>
      </c>
      <c r="AE454" s="1321"/>
      <c r="AF454" s="1322"/>
      <c r="AG454" s="740"/>
    </row>
    <row r="455" spans="1:33">
      <c r="A455" s="96">
        <v>301252</v>
      </c>
      <c r="B455" s="1286" t="s">
        <v>353</v>
      </c>
      <c r="C455" s="782">
        <f>'TAR_Tab 2_Volumina'!N458</f>
        <v>1</v>
      </c>
      <c r="D455" s="976"/>
      <c r="E455" s="1318">
        <v>142888.11124546072</v>
      </c>
      <c r="F455" s="1116">
        <f t="shared" ref="F455:F518" si="78">E455*$F$5*C455</f>
        <v>135972.32666118041</v>
      </c>
      <c r="G455" s="1116">
        <f t="shared" ref="G455:G518" si="79">F455*$G$5</f>
        <v>139150.13665794331</v>
      </c>
      <c r="H455" s="976"/>
      <c r="I455" s="1117">
        <f t="shared" si="75"/>
        <v>132192.62982504614</v>
      </c>
      <c r="J455" s="1117">
        <f t="shared" si="75"/>
        <v>146107.64349084048</v>
      </c>
      <c r="K455" s="1320"/>
      <c r="L455" s="1000" t="str">
        <f t="shared" si="69"/>
        <v/>
      </c>
      <c r="M455" s="1118">
        <f t="shared" si="70"/>
        <v>139150.13665794331</v>
      </c>
      <c r="N455" s="976"/>
      <c r="O455" s="1119">
        <f t="shared" si="77"/>
        <v>-6453.485398415165</v>
      </c>
      <c r="P455" s="1119">
        <f t="shared" si="76"/>
        <v>6677.6377635849485</v>
      </c>
      <c r="Q455" s="1119">
        <f t="shared" si="76"/>
        <v>0</v>
      </c>
      <c r="R455" s="1119">
        <f t="shared" si="76"/>
        <v>251.56332204814376</v>
      </c>
      <c r="S455" s="1119">
        <f t="shared" si="76"/>
        <v>5826.1587858731173</v>
      </c>
      <c r="T455" s="1119">
        <f t="shared" si="76"/>
        <v>-762.47286917188137</v>
      </c>
      <c r="U455" s="1119">
        <f t="shared" si="76"/>
        <v>-28.685090223828897</v>
      </c>
      <c r="V455" s="1119">
        <f t="shared" si="76"/>
        <v>-2371.7540619051874</v>
      </c>
      <c r="W455" s="1119">
        <f t="shared" si="76"/>
        <v>187.13954328291612</v>
      </c>
      <c r="X455" s="978"/>
      <c r="Y455" s="1120">
        <f t="shared" si="71"/>
        <v>142476.23865301636</v>
      </c>
      <c r="Z455" s="1354"/>
      <c r="AA455" s="1001">
        <v>0.30517283118938882</v>
      </c>
      <c r="AB455" s="978"/>
      <c r="AC455" s="1036">
        <f t="shared" si="72"/>
        <v>0.30517283118938882</v>
      </c>
      <c r="AD455" s="783">
        <f t="shared" si="73"/>
        <v>0.30499999999999999</v>
      </c>
      <c r="AE455" s="1321"/>
      <c r="AF455" s="1322"/>
      <c r="AG455" s="740"/>
    </row>
    <row r="456" spans="1:33">
      <c r="A456" s="96">
        <v>301253</v>
      </c>
      <c r="B456" s="1286" t="s">
        <v>354</v>
      </c>
      <c r="C456" s="782">
        <f>'TAR_Tab 2_Volumina'!N459</f>
        <v>1</v>
      </c>
      <c r="D456" s="976"/>
      <c r="E456" s="1318">
        <v>107166.08343409555</v>
      </c>
      <c r="F456" s="1116">
        <f t="shared" si="78"/>
        <v>101979.24499588532</v>
      </c>
      <c r="G456" s="1116">
        <f t="shared" si="79"/>
        <v>104362.6024934575</v>
      </c>
      <c r="H456" s="976"/>
      <c r="I456" s="1117">
        <f t="shared" si="75"/>
        <v>99144.472368784613</v>
      </c>
      <c r="J456" s="1117">
        <f t="shared" si="75"/>
        <v>109580.73261813038</v>
      </c>
      <c r="K456" s="1320"/>
      <c r="L456" s="1000" t="str">
        <f t="shared" ref="L456:L519" si="80">IF(K456&gt;0,AND(K456&gt;=I456,K456&lt;=J456),"")</f>
        <v/>
      </c>
      <c r="M456" s="1118">
        <f t="shared" ref="M456:M519" si="81">IF(K456&gt;0,K456,G456)</f>
        <v>104362.6024934575</v>
      </c>
      <c r="N456" s="976"/>
      <c r="O456" s="1119">
        <f t="shared" si="77"/>
        <v>-4840.1140488113742</v>
      </c>
      <c r="P456" s="1119">
        <f t="shared" si="76"/>
        <v>5008.2283226887121</v>
      </c>
      <c r="Q456" s="1119">
        <f t="shared" si="76"/>
        <v>0</v>
      </c>
      <c r="R456" s="1119">
        <f t="shared" si="76"/>
        <v>188.67249153610786</v>
      </c>
      <c r="S456" s="1119">
        <f t="shared" si="76"/>
        <v>4369.6190894048386</v>
      </c>
      <c r="T456" s="1119">
        <f t="shared" si="76"/>
        <v>-571.85465187891111</v>
      </c>
      <c r="U456" s="1119">
        <f t="shared" si="76"/>
        <v>-21.513817667871677</v>
      </c>
      <c r="V456" s="1119">
        <f t="shared" si="76"/>
        <v>-1778.8155464288907</v>
      </c>
      <c r="W456" s="1119">
        <f t="shared" si="76"/>
        <v>140.35465746218711</v>
      </c>
      <c r="X456" s="978"/>
      <c r="Y456" s="1120">
        <f t="shared" ref="Y456:Y519" si="82">M456+SUM(O456:W456)</f>
        <v>106857.17898976229</v>
      </c>
      <c r="Z456" s="1354"/>
      <c r="AA456" s="1001">
        <v>0.36879822540103929</v>
      </c>
      <c r="AB456" s="978"/>
      <c r="AC456" s="1036">
        <f t="shared" ref="AC456:AC519" si="83">AA456</f>
        <v>0.36879822540103929</v>
      </c>
      <c r="AD456" s="783">
        <f t="shared" ref="AD456:AD519" si="84">ROUND(AC456,3)</f>
        <v>0.36899999999999999</v>
      </c>
      <c r="AE456" s="1321"/>
      <c r="AF456" s="1322"/>
      <c r="AG456" s="740"/>
    </row>
    <row r="457" spans="1:33">
      <c r="A457" s="96">
        <v>301254</v>
      </c>
      <c r="B457" s="1286" t="s">
        <v>355</v>
      </c>
      <c r="C457" s="782">
        <f>'TAR_Tab 2_Volumina'!N460</f>
        <v>1</v>
      </c>
      <c r="D457" s="976"/>
      <c r="E457" s="1318">
        <v>89305.069528412947</v>
      </c>
      <c r="F457" s="1116">
        <f t="shared" si="78"/>
        <v>84982.704163237766</v>
      </c>
      <c r="G457" s="1116">
        <f t="shared" si="79"/>
        <v>86968.835411214575</v>
      </c>
      <c r="H457" s="976"/>
      <c r="I457" s="1117">
        <f t="shared" si="75"/>
        <v>82620.393640653841</v>
      </c>
      <c r="J457" s="1117">
        <f t="shared" si="75"/>
        <v>91317.277181775309</v>
      </c>
      <c r="K457" s="1320"/>
      <c r="L457" s="1000" t="str">
        <f t="shared" si="80"/>
        <v/>
      </c>
      <c r="M457" s="1118">
        <f t="shared" si="81"/>
        <v>86968.835411214575</v>
      </c>
      <c r="N457" s="976"/>
      <c r="O457" s="1119">
        <f t="shared" si="77"/>
        <v>-4033.4283740094784</v>
      </c>
      <c r="P457" s="1119">
        <f t="shared" si="77"/>
        <v>4173.5236022405934</v>
      </c>
      <c r="Q457" s="1119">
        <f t="shared" si="77"/>
        <v>0</v>
      </c>
      <c r="R457" s="1119">
        <f t="shared" si="77"/>
        <v>157.22707628008988</v>
      </c>
      <c r="S457" s="1119">
        <f t="shared" si="77"/>
        <v>3641.3492411706984</v>
      </c>
      <c r="T457" s="1119">
        <f t="shared" si="77"/>
        <v>-476.54554323242587</v>
      </c>
      <c r="U457" s="1119">
        <f t="shared" si="77"/>
        <v>-17.928181389893062</v>
      </c>
      <c r="V457" s="1119">
        <f t="shared" si="77"/>
        <v>-1482.3462886907421</v>
      </c>
      <c r="W457" s="1119">
        <f t="shared" si="77"/>
        <v>116.96221455182258</v>
      </c>
      <c r="X457" s="978"/>
      <c r="Y457" s="1120">
        <f t="shared" si="82"/>
        <v>89047.649158135246</v>
      </c>
      <c r="Z457" s="1354"/>
      <c r="AA457" s="1001">
        <v>0.10930785936878964</v>
      </c>
      <c r="AB457" s="978"/>
      <c r="AC457" s="1036">
        <f t="shared" si="83"/>
        <v>0.10930785936878964</v>
      </c>
      <c r="AD457" s="783">
        <f t="shared" si="84"/>
        <v>0.109</v>
      </c>
      <c r="AE457" s="1321"/>
      <c r="AF457" s="1322"/>
      <c r="AG457" s="740"/>
    </row>
    <row r="458" spans="1:33">
      <c r="A458" s="96">
        <v>301255</v>
      </c>
      <c r="B458" s="1286" t="s">
        <v>356</v>
      </c>
      <c r="C458" s="782">
        <f>'TAR_Tab 2_Volumina'!N461</f>
        <v>1</v>
      </c>
      <c r="D458" s="976"/>
      <c r="E458" s="1318">
        <v>107166.08343409555</v>
      </c>
      <c r="F458" s="1116">
        <f t="shared" si="78"/>
        <v>101979.24499588532</v>
      </c>
      <c r="G458" s="1116">
        <f t="shared" si="79"/>
        <v>104362.6024934575</v>
      </c>
      <c r="H458" s="976"/>
      <c r="I458" s="1117">
        <f t="shared" si="75"/>
        <v>99144.472368784613</v>
      </c>
      <c r="J458" s="1117">
        <f t="shared" si="75"/>
        <v>109580.73261813038</v>
      </c>
      <c r="K458" s="1320"/>
      <c r="L458" s="1000" t="str">
        <f t="shared" si="80"/>
        <v/>
      </c>
      <c r="M458" s="1118">
        <f t="shared" si="81"/>
        <v>104362.6024934575</v>
      </c>
      <c r="N458" s="976"/>
      <c r="O458" s="1119">
        <f t="shared" ref="O458:W486" si="85">$M458*O$5</f>
        <v>-4840.1140488113742</v>
      </c>
      <c r="P458" s="1119">
        <f t="shared" si="85"/>
        <v>5008.2283226887121</v>
      </c>
      <c r="Q458" s="1119">
        <f t="shared" si="85"/>
        <v>0</v>
      </c>
      <c r="R458" s="1119">
        <f t="shared" si="85"/>
        <v>188.67249153610786</v>
      </c>
      <c r="S458" s="1119">
        <f t="shared" si="85"/>
        <v>4369.6190894048386</v>
      </c>
      <c r="T458" s="1119">
        <f t="shared" si="85"/>
        <v>-571.85465187891111</v>
      </c>
      <c r="U458" s="1119">
        <f t="shared" si="85"/>
        <v>-21.513817667871677</v>
      </c>
      <c r="V458" s="1119">
        <f t="shared" si="85"/>
        <v>-1778.8155464288907</v>
      </c>
      <c r="W458" s="1119">
        <f t="shared" si="85"/>
        <v>140.35465746218711</v>
      </c>
      <c r="X458" s="978"/>
      <c r="Y458" s="1120">
        <f t="shared" si="82"/>
        <v>106857.17898976229</v>
      </c>
      <c r="Z458" s="1354"/>
      <c r="AA458" s="1001">
        <v>6.8102569176123881E-2</v>
      </c>
      <c r="AB458" s="978"/>
      <c r="AC458" s="1036">
        <f t="shared" si="83"/>
        <v>6.8102569176123881E-2</v>
      </c>
      <c r="AD458" s="783">
        <f t="shared" si="84"/>
        <v>6.8000000000000005E-2</v>
      </c>
      <c r="AE458" s="1321"/>
      <c r="AF458" s="1322"/>
      <c r="AG458" s="740"/>
    </row>
    <row r="459" spans="1:33">
      <c r="A459" s="96">
        <v>301257</v>
      </c>
      <c r="B459" s="1286" t="s">
        <v>357</v>
      </c>
      <c r="C459" s="782">
        <f>'TAR_Tab 2_Volumina'!N462</f>
        <v>1</v>
      </c>
      <c r="D459" s="976"/>
      <c r="E459" s="1318">
        <v>142888.11124546072</v>
      </c>
      <c r="F459" s="1116">
        <f t="shared" si="78"/>
        <v>135972.32666118041</v>
      </c>
      <c r="G459" s="1116">
        <f t="shared" si="79"/>
        <v>139150.13665794331</v>
      </c>
      <c r="H459" s="976"/>
      <c r="I459" s="1117">
        <f t="shared" si="75"/>
        <v>132192.62982504614</v>
      </c>
      <c r="J459" s="1117">
        <f t="shared" si="75"/>
        <v>146107.64349084048</v>
      </c>
      <c r="K459" s="1320"/>
      <c r="L459" s="1000" t="str">
        <f t="shared" si="80"/>
        <v/>
      </c>
      <c r="M459" s="1118">
        <f t="shared" si="81"/>
        <v>139150.13665794331</v>
      </c>
      <c r="N459" s="976"/>
      <c r="O459" s="1119">
        <f t="shared" si="85"/>
        <v>-6453.485398415165</v>
      </c>
      <c r="P459" s="1119">
        <f t="shared" si="85"/>
        <v>6677.6377635849485</v>
      </c>
      <c r="Q459" s="1119">
        <f t="shared" si="85"/>
        <v>0</v>
      </c>
      <c r="R459" s="1119">
        <f t="shared" si="85"/>
        <v>251.56332204814376</v>
      </c>
      <c r="S459" s="1119">
        <f t="shared" si="85"/>
        <v>5826.1587858731173</v>
      </c>
      <c r="T459" s="1119">
        <f t="shared" si="85"/>
        <v>-762.47286917188137</v>
      </c>
      <c r="U459" s="1119">
        <f t="shared" si="85"/>
        <v>-28.685090223828897</v>
      </c>
      <c r="V459" s="1119">
        <f t="shared" si="85"/>
        <v>-2371.7540619051874</v>
      </c>
      <c r="W459" s="1119">
        <f t="shared" si="85"/>
        <v>187.13954328291612</v>
      </c>
      <c r="X459" s="978"/>
      <c r="Y459" s="1120">
        <f t="shared" si="82"/>
        <v>142476.23865301636</v>
      </c>
      <c r="Z459" s="1354"/>
      <c r="AA459" s="1001">
        <v>3.3612580060842757E-2</v>
      </c>
      <c r="AB459" s="978"/>
      <c r="AC459" s="1036">
        <f t="shared" si="83"/>
        <v>3.3612580060842757E-2</v>
      </c>
      <c r="AD459" s="783">
        <f t="shared" si="84"/>
        <v>3.4000000000000002E-2</v>
      </c>
      <c r="AE459" s="1321"/>
      <c r="AF459" s="1322"/>
      <c r="AG459" s="740"/>
    </row>
    <row r="460" spans="1:33">
      <c r="A460" s="96">
        <v>301259</v>
      </c>
      <c r="B460" s="1286" t="s">
        <v>358</v>
      </c>
      <c r="C460" s="782">
        <f>'TAR_Tab 2_Volumina'!N463</f>
        <v>1</v>
      </c>
      <c r="D460" s="976"/>
      <c r="E460" s="1318">
        <v>71444.05562273036</v>
      </c>
      <c r="F460" s="1116">
        <f t="shared" si="78"/>
        <v>67986.163330590207</v>
      </c>
      <c r="G460" s="1116">
        <f t="shared" si="79"/>
        <v>69575.068328971654</v>
      </c>
      <c r="H460" s="976"/>
      <c r="I460" s="1117">
        <f t="shared" si="75"/>
        <v>66096.31491252307</v>
      </c>
      <c r="J460" s="1117">
        <f t="shared" si="75"/>
        <v>73053.821745420239</v>
      </c>
      <c r="K460" s="1320"/>
      <c r="L460" s="1000" t="str">
        <f t="shared" si="80"/>
        <v/>
      </c>
      <c r="M460" s="1118">
        <f t="shared" si="81"/>
        <v>69575.068328971654</v>
      </c>
      <c r="N460" s="976"/>
      <c r="O460" s="1119">
        <f t="shared" si="85"/>
        <v>-3226.7426992075825</v>
      </c>
      <c r="P460" s="1119">
        <f t="shared" si="85"/>
        <v>3338.8188817924743</v>
      </c>
      <c r="Q460" s="1119">
        <f t="shared" si="85"/>
        <v>0</v>
      </c>
      <c r="R460" s="1119">
        <f t="shared" si="85"/>
        <v>125.78166102407188</v>
      </c>
      <c r="S460" s="1119">
        <f t="shared" si="85"/>
        <v>2913.0793929365586</v>
      </c>
      <c r="T460" s="1119">
        <f t="shared" si="85"/>
        <v>-381.23643458594069</v>
      </c>
      <c r="U460" s="1119">
        <f t="shared" si="85"/>
        <v>-14.342545111914449</v>
      </c>
      <c r="V460" s="1119">
        <f t="shared" si="85"/>
        <v>-1185.8770309525937</v>
      </c>
      <c r="W460" s="1119">
        <f t="shared" si="85"/>
        <v>93.569771641458061</v>
      </c>
      <c r="X460" s="978"/>
      <c r="Y460" s="1120">
        <f t="shared" si="82"/>
        <v>71238.119326508182</v>
      </c>
      <c r="Z460" s="1354"/>
      <c r="AA460" s="1001">
        <v>8.210939472569441E-2</v>
      </c>
      <c r="AB460" s="978"/>
      <c r="AC460" s="1036">
        <f t="shared" si="83"/>
        <v>8.210939472569441E-2</v>
      </c>
      <c r="AD460" s="783">
        <f t="shared" si="84"/>
        <v>8.2000000000000003E-2</v>
      </c>
      <c r="AE460" s="1321"/>
      <c r="AF460" s="1322"/>
      <c r="AG460" s="740"/>
    </row>
    <row r="461" spans="1:33">
      <c r="A461" s="96">
        <v>301263</v>
      </c>
      <c r="B461" s="1286" t="s">
        <v>359</v>
      </c>
      <c r="C461" s="782">
        <f>'TAR_Tab 2_Volumina'!N464</f>
        <v>1</v>
      </c>
      <c r="D461" s="976"/>
      <c r="E461" s="1318">
        <v>89305.069528412947</v>
      </c>
      <c r="F461" s="1116">
        <f t="shared" si="78"/>
        <v>84982.704163237766</v>
      </c>
      <c r="G461" s="1116">
        <f t="shared" si="79"/>
        <v>86968.835411214575</v>
      </c>
      <c r="H461" s="976"/>
      <c r="I461" s="1117">
        <f t="shared" ref="I461:J492" si="86">$G461*I$5</f>
        <v>82620.393640653841</v>
      </c>
      <c r="J461" s="1117">
        <f t="shared" si="86"/>
        <v>91317.277181775309</v>
      </c>
      <c r="K461" s="1320"/>
      <c r="L461" s="1000" t="str">
        <f t="shared" si="80"/>
        <v/>
      </c>
      <c r="M461" s="1118">
        <f t="shared" si="81"/>
        <v>86968.835411214575</v>
      </c>
      <c r="N461" s="976"/>
      <c r="O461" s="1119">
        <f t="shared" si="85"/>
        <v>-4033.4283740094784</v>
      </c>
      <c r="P461" s="1119">
        <f t="shared" si="85"/>
        <v>4173.5236022405934</v>
      </c>
      <c r="Q461" s="1119">
        <f t="shared" si="85"/>
        <v>0</v>
      </c>
      <c r="R461" s="1119">
        <f t="shared" si="85"/>
        <v>157.22707628008988</v>
      </c>
      <c r="S461" s="1119">
        <f t="shared" si="85"/>
        <v>3641.3492411706984</v>
      </c>
      <c r="T461" s="1119">
        <f t="shared" si="85"/>
        <v>-476.54554323242587</v>
      </c>
      <c r="U461" s="1119">
        <f t="shared" si="85"/>
        <v>-17.928181389893062</v>
      </c>
      <c r="V461" s="1119">
        <f t="shared" si="85"/>
        <v>-1482.3462886907421</v>
      </c>
      <c r="W461" s="1119">
        <f t="shared" si="85"/>
        <v>116.96221455182258</v>
      </c>
      <c r="X461" s="978"/>
      <c r="Y461" s="1120">
        <f t="shared" si="82"/>
        <v>89047.649158135246</v>
      </c>
      <c r="Z461" s="1354"/>
      <c r="AA461" s="1001">
        <v>0.22711240571738917</v>
      </c>
      <c r="AB461" s="978"/>
      <c r="AC461" s="1036">
        <f t="shared" si="83"/>
        <v>0.22711240571738917</v>
      </c>
      <c r="AD461" s="783">
        <f t="shared" si="84"/>
        <v>0.22700000000000001</v>
      </c>
      <c r="AE461" s="1321"/>
      <c r="AF461" s="1322"/>
      <c r="AG461" s="740"/>
    </row>
    <row r="462" spans="1:33">
      <c r="A462" s="96">
        <v>301264</v>
      </c>
      <c r="B462" s="1286" t="s">
        <v>360</v>
      </c>
      <c r="C462" s="782">
        <f>'TAR_Tab 2_Volumina'!N465</f>
        <v>1</v>
      </c>
      <c r="D462" s="976"/>
      <c r="E462" s="1318">
        <v>71444.05562273036</v>
      </c>
      <c r="F462" s="1116">
        <f t="shared" si="78"/>
        <v>67986.163330590207</v>
      </c>
      <c r="G462" s="1116">
        <f t="shared" si="79"/>
        <v>69575.068328971654</v>
      </c>
      <c r="H462" s="976"/>
      <c r="I462" s="1117">
        <f t="shared" si="86"/>
        <v>66096.31491252307</v>
      </c>
      <c r="J462" s="1117">
        <f t="shared" si="86"/>
        <v>73053.821745420239</v>
      </c>
      <c r="K462" s="1320"/>
      <c r="L462" s="1000" t="str">
        <f t="shared" si="80"/>
        <v/>
      </c>
      <c r="M462" s="1118">
        <f t="shared" si="81"/>
        <v>69575.068328971654</v>
      </c>
      <c r="N462" s="976"/>
      <c r="O462" s="1119">
        <f t="shared" si="85"/>
        <v>-3226.7426992075825</v>
      </c>
      <c r="P462" s="1119">
        <f t="shared" si="85"/>
        <v>3338.8188817924743</v>
      </c>
      <c r="Q462" s="1119">
        <f t="shared" si="85"/>
        <v>0</v>
      </c>
      <c r="R462" s="1119">
        <f t="shared" si="85"/>
        <v>125.78166102407188</v>
      </c>
      <c r="S462" s="1119">
        <f t="shared" si="85"/>
        <v>2913.0793929365586</v>
      </c>
      <c r="T462" s="1119">
        <f t="shared" si="85"/>
        <v>-381.23643458594069</v>
      </c>
      <c r="U462" s="1119">
        <f t="shared" si="85"/>
        <v>-14.342545111914449</v>
      </c>
      <c r="V462" s="1119">
        <f t="shared" si="85"/>
        <v>-1185.8770309525937</v>
      </c>
      <c r="W462" s="1119">
        <f t="shared" si="85"/>
        <v>93.569771641458061</v>
      </c>
      <c r="X462" s="978"/>
      <c r="Y462" s="1120">
        <f t="shared" si="82"/>
        <v>71238.119326508182</v>
      </c>
      <c r="Z462" s="1354"/>
      <c r="AA462" s="1001">
        <v>0.5633796650066617</v>
      </c>
      <c r="AB462" s="978"/>
      <c r="AC462" s="1036">
        <f t="shared" si="83"/>
        <v>0.5633796650066617</v>
      </c>
      <c r="AD462" s="783">
        <f t="shared" si="84"/>
        <v>0.56299999999999994</v>
      </c>
      <c r="AE462" s="1321"/>
      <c r="AF462" s="1322"/>
      <c r="AG462" s="740"/>
    </row>
    <row r="463" spans="1:33">
      <c r="A463" s="96">
        <v>301265</v>
      </c>
      <c r="B463" s="1286" t="s">
        <v>361</v>
      </c>
      <c r="C463" s="782">
        <f>'TAR_Tab 2_Volumina'!N466</f>
        <v>1</v>
      </c>
      <c r="D463" s="976"/>
      <c r="E463" s="1318">
        <v>89305.069528412947</v>
      </c>
      <c r="F463" s="1116">
        <f t="shared" si="78"/>
        <v>84982.704163237766</v>
      </c>
      <c r="G463" s="1116">
        <f t="shared" si="79"/>
        <v>86968.835411214575</v>
      </c>
      <c r="H463" s="976"/>
      <c r="I463" s="1117">
        <f t="shared" si="86"/>
        <v>82620.393640653841</v>
      </c>
      <c r="J463" s="1117">
        <f t="shared" si="86"/>
        <v>91317.277181775309</v>
      </c>
      <c r="K463" s="1320"/>
      <c r="L463" s="1000" t="str">
        <f t="shared" si="80"/>
        <v/>
      </c>
      <c r="M463" s="1118">
        <f t="shared" si="81"/>
        <v>86968.835411214575</v>
      </c>
      <c r="N463" s="976"/>
      <c r="O463" s="1119">
        <f t="shared" si="85"/>
        <v>-4033.4283740094784</v>
      </c>
      <c r="P463" s="1119">
        <f t="shared" si="85"/>
        <v>4173.5236022405934</v>
      </c>
      <c r="Q463" s="1119">
        <f t="shared" si="85"/>
        <v>0</v>
      </c>
      <c r="R463" s="1119">
        <f t="shared" si="85"/>
        <v>157.22707628008988</v>
      </c>
      <c r="S463" s="1119">
        <f t="shared" si="85"/>
        <v>3641.3492411706984</v>
      </c>
      <c r="T463" s="1119">
        <f t="shared" si="85"/>
        <v>-476.54554323242587</v>
      </c>
      <c r="U463" s="1119">
        <f t="shared" si="85"/>
        <v>-17.928181389893062</v>
      </c>
      <c r="V463" s="1119">
        <f t="shared" si="85"/>
        <v>-1482.3462886907421</v>
      </c>
      <c r="W463" s="1119">
        <f t="shared" si="85"/>
        <v>116.96221455182258</v>
      </c>
      <c r="X463" s="978"/>
      <c r="Y463" s="1120">
        <f t="shared" si="82"/>
        <v>89047.649158135246</v>
      </c>
      <c r="Z463" s="1354"/>
      <c r="AA463" s="1001">
        <v>0.21501683899382701</v>
      </c>
      <c r="AB463" s="978"/>
      <c r="AC463" s="1036">
        <f t="shared" si="83"/>
        <v>0.21501683899382701</v>
      </c>
      <c r="AD463" s="783">
        <f t="shared" si="84"/>
        <v>0.215</v>
      </c>
      <c r="AE463" s="1321"/>
      <c r="AF463" s="1322"/>
      <c r="AG463" s="740"/>
    </row>
    <row r="464" spans="1:33">
      <c r="A464" s="96">
        <v>301266</v>
      </c>
      <c r="B464" s="1286" t="s">
        <v>362</v>
      </c>
      <c r="C464" s="782">
        <f>'TAR_Tab 2_Volumina'!N467</f>
        <v>1</v>
      </c>
      <c r="D464" s="976"/>
      <c r="E464" s="1318">
        <v>71444.05562273036</v>
      </c>
      <c r="F464" s="1116">
        <f t="shared" si="78"/>
        <v>67986.163330590207</v>
      </c>
      <c r="G464" s="1116">
        <f t="shared" si="79"/>
        <v>69575.068328971654</v>
      </c>
      <c r="H464" s="976"/>
      <c r="I464" s="1117">
        <f t="shared" si="86"/>
        <v>66096.31491252307</v>
      </c>
      <c r="J464" s="1117">
        <f t="shared" si="86"/>
        <v>73053.821745420239</v>
      </c>
      <c r="K464" s="1320"/>
      <c r="L464" s="1000" t="str">
        <f t="shared" si="80"/>
        <v/>
      </c>
      <c r="M464" s="1118">
        <f t="shared" si="81"/>
        <v>69575.068328971654</v>
      </c>
      <c r="N464" s="976"/>
      <c r="O464" s="1119">
        <f t="shared" si="85"/>
        <v>-3226.7426992075825</v>
      </c>
      <c r="P464" s="1119">
        <f t="shared" si="85"/>
        <v>3338.8188817924743</v>
      </c>
      <c r="Q464" s="1119">
        <f t="shared" si="85"/>
        <v>0</v>
      </c>
      <c r="R464" s="1119">
        <f t="shared" si="85"/>
        <v>125.78166102407188</v>
      </c>
      <c r="S464" s="1119">
        <f t="shared" si="85"/>
        <v>2913.0793929365586</v>
      </c>
      <c r="T464" s="1119">
        <f t="shared" si="85"/>
        <v>-381.23643458594069</v>
      </c>
      <c r="U464" s="1119">
        <f t="shared" si="85"/>
        <v>-14.342545111914449</v>
      </c>
      <c r="V464" s="1119">
        <f t="shared" si="85"/>
        <v>-1185.8770309525937</v>
      </c>
      <c r="W464" s="1119">
        <f t="shared" si="85"/>
        <v>93.569771641458061</v>
      </c>
      <c r="X464" s="978"/>
      <c r="Y464" s="1120">
        <f t="shared" si="82"/>
        <v>71238.119326508182</v>
      </c>
      <c r="Z464" s="1354"/>
      <c r="AA464" s="1001">
        <v>0.10493293455239089</v>
      </c>
      <c r="AB464" s="978"/>
      <c r="AC464" s="1036">
        <f t="shared" si="83"/>
        <v>0.10493293455239089</v>
      </c>
      <c r="AD464" s="783">
        <f t="shared" si="84"/>
        <v>0.105</v>
      </c>
      <c r="AE464" s="1321"/>
      <c r="AF464" s="1322"/>
      <c r="AG464" s="740"/>
    </row>
    <row r="465" spans="1:33" s="101" customFormat="1">
      <c r="A465" s="96">
        <v>301271</v>
      </c>
      <c r="B465" s="1286" t="s">
        <v>363</v>
      </c>
      <c r="C465" s="782">
        <f>'TAR_Tab 2_Volumina'!N468</f>
        <v>1</v>
      </c>
      <c r="D465" s="976"/>
      <c r="E465" s="1318">
        <v>71444.05562273036</v>
      </c>
      <c r="F465" s="1116">
        <f t="shared" si="78"/>
        <v>67986.163330590207</v>
      </c>
      <c r="G465" s="1116">
        <f t="shared" si="79"/>
        <v>69575.068328971654</v>
      </c>
      <c r="H465" s="976"/>
      <c r="I465" s="1117">
        <f t="shared" si="86"/>
        <v>66096.31491252307</v>
      </c>
      <c r="J465" s="1117">
        <f t="shared" si="86"/>
        <v>73053.821745420239</v>
      </c>
      <c r="K465" s="1320"/>
      <c r="L465" s="1000" t="str">
        <f t="shared" si="80"/>
        <v/>
      </c>
      <c r="M465" s="1118">
        <f t="shared" si="81"/>
        <v>69575.068328971654</v>
      </c>
      <c r="N465" s="976"/>
      <c r="O465" s="1119">
        <f t="shared" si="85"/>
        <v>-3226.7426992075825</v>
      </c>
      <c r="P465" s="1119">
        <f t="shared" si="85"/>
        <v>3338.8188817924743</v>
      </c>
      <c r="Q465" s="1119">
        <f t="shared" si="85"/>
        <v>0</v>
      </c>
      <c r="R465" s="1119">
        <f t="shared" si="85"/>
        <v>125.78166102407188</v>
      </c>
      <c r="S465" s="1119">
        <f t="shared" si="85"/>
        <v>2913.0793929365586</v>
      </c>
      <c r="T465" s="1119">
        <f t="shared" si="85"/>
        <v>-381.23643458594069</v>
      </c>
      <c r="U465" s="1119">
        <f t="shared" si="85"/>
        <v>-14.342545111914449</v>
      </c>
      <c r="V465" s="1119">
        <f t="shared" si="85"/>
        <v>-1185.8770309525937</v>
      </c>
      <c r="W465" s="1119">
        <f t="shared" si="85"/>
        <v>93.569771641458061</v>
      </c>
      <c r="X465" s="978"/>
      <c r="Y465" s="1120">
        <f t="shared" si="82"/>
        <v>71238.119326508182</v>
      </c>
      <c r="Z465" s="1354"/>
      <c r="AA465" s="1001">
        <v>5.4766156919601655E-2</v>
      </c>
      <c r="AB465" s="978"/>
      <c r="AC465" s="1036">
        <f t="shared" si="83"/>
        <v>5.4766156919601655E-2</v>
      </c>
      <c r="AD465" s="783">
        <f t="shared" si="84"/>
        <v>5.5E-2</v>
      </c>
      <c r="AE465" s="1321"/>
      <c r="AF465" s="1322"/>
      <c r="AG465" s="740"/>
    </row>
    <row r="466" spans="1:33">
      <c r="A466" s="96">
        <v>301272</v>
      </c>
      <c r="B466" s="1286" t="s">
        <v>364</v>
      </c>
      <c r="C466" s="782">
        <f>'TAR_Tab 2_Volumina'!N469</f>
        <v>1</v>
      </c>
      <c r="D466" s="976"/>
      <c r="E466" s="1318">
        <v>53583.041717047774</v>
      </c>
      <c r="F466" s="1116">
        <f t="shared" si="78"/>
        <v>50989.622497942662</v>
      </c>
      <c r="G466" s="1116">
        <f t="shared" si="79"/>
        <v>52181.301246728748</v>
      </c>
      <c r="H466" s="976"/>
      <c r="I466" s="1117">
        <f t="shared" si="86"/>
        <v>49572.236184392306</v>
      </c>
      <c r="J466" s="1117">
        <f t="shared" si="86"/>
        <v>54790.36630906519</v>
      </c>
      <c r="K466" s="1320"/>
      <c r="L466" s="1000" t="str">
        <f t="shared" si="80"/>
        <v/>
      </c>
      <c r="M466" s="1118">
        <f t="shared" si="81"/>
        <v>52181.301246728748</v>
      </c>
      <c r="N466" s="976"/>
      <c r="O466" s="1119">
        <f t="shared" si="85"/>
        <v>-2420.0570244056871</v>
      </c>
      <c r="P466" s="1119">
        <f t="shared" si="85"/>
        <v>2504.114161344356</v>
      </c>
      <c r="Q466" s="1119">
        <f t="shared" si="85"/>
        <v>0</v>
      </c>
      <c r="R466" s="1119">
        <f t="shared" si="85"/>
        <v>94.336245768053928</v>
      </c>
      <c r="S466" s="1119">
        <f t="shared" si="85"/>
        <v>2184.8095447024193</v>
      </c>
      <c r="T466" s="1119">
        <f t="shared" si="85"/>
        <v>-285.92732593945556</v>
      </c>
      <c r="U466" s="1119">
        <f t="shared" si="85"/>
        <v>-10.756908833935839</v>
      </c>
      <c r="V466" s="1119">
        <f t="shared" si="85"/>
        <v>-889.40777321444534</v>
      </c>
      <c r="W466" s="1119">
        <f t="shared" si="85"/>
        <v>70.177328731093553</v>
      </c>
      <c r="X466" s="978"/>
      <c r="Y466" s="1120">
        <f t="shared" si="82"/>
        <v>53428.589494881147</v>
      </c>
      <c r="Z466" s="1354"/>
      <c r="AA466" s="1001">
        <v>0.24916392704338428</v>
      </c>
      <c r="AB466" s="978"/>
      <c r="AC466" s="1036">
        <f t="shared" si="83"/>
        <v>0.24916392704338428</v>
      </c>
      <c r="AD466" s="783">
        <f t="shared" si="84"/>
        <v>0.249</v>
      </c>
      <c r="AE466" s="1321"/>
      <c r="AF466" s="1322"/>
      <c r="AG466" s="740"/>
    </row>
    <row r="467" spans="1:33">
      <c r="A467" s="96">
        <v>301273</v>
      </c>
      <c r="B467" s="1286" t="s">
        <v>365</v>
      </c>
      <c r="C467" s="782">
        <f>'TAR_Tab 2_Volumina'!N470</f>
        <v>1</v>
      </c>
      <c r="D467" s="976"/>
      <c r="E467" s="1318">
        <v>71444.05562273036</v>
      </c>
      <c r="F467" s="1116">
        <f t="shared" si="78"/>
        <v>67986.163330590207</v>
      </c>
      <c r="G467" s="1116">
        <f t="shared" si="79"/>
        <v>69575.068328971654</v>
      </c>
      <c r="H467" s="976"/>
      <c r="I467" s="1117">
        <f t="shared" si="86"/>
        <v>66096.31491252307</v>
      </c>
      <c r="J467" s="1117">
        <f t="shared" si="86"/>
        <v>73053.821745420239</v>
      </c>
      <c r="K467" s="1320"/>
      <c r="L467" s="1000" t="str">
        <f t="shared" si="80"/>
        <v/>
      </c>
      <c r="M467" s="1118">
        <f t="shared" si="81"/>
        <v>69575.068328971654</v>
      </c>
      <c r="N467" s="976"/>
      <c r="O467" s="1119">
        <f t="shared" si="85"/>
        <v>-3226.7426992075825</v>
      </c>
      <c r="P467" s="1119">
        <f t="shared" si="85"/>
        <v>3338.8188817924743</v>
      </c>
      <c r="Q467" s="1119">
        <f t="shared" si="85"/>
        <v>0</v>
      </c>
      <c r="R467" s="1119">
        <f t="shared" si="85"/>
        <v>125.78166102407188</v>
      </c>
      <c r="S467" s="1119">
        <f t="shared" si="85"/>
        <v>2913.0793929365586</v>
      </c>
      <c r="T467" s="1119">
        <f t="shared" si="85"/>
        <v>-381.23643458594069</v>
      </c>
      <c r="U467" s="1119">
        <f t="shared" si="85"/>
        <v>-14.342545111914449</v>
      </c>
      <c r="V467" s="1119">
        <f t="shared" si="85"/>
        <v>-1185.8770309525937</v>
      </c>
      <c r="W467" s="1119">
        <f t="shared" si="85"/>
        <v>93.569771641458061</v>
      </c>
      <c r="X467" s="978"/>
      <c r="Y467" s="1120">
        <f t="shared" si="82"/>
        <v>71238.119326508182</v>
      </c>
      <c r="Z467" s="1354"/>
      <c r="AA467" s="1001">
        <v>0.20072764939057613</v>
      </c>
      <c r="AB467" s="978"/>
      <c r="AC467" s="1036">
        <f t="shared" si="83"/>
        <v>0.20072764939057613</v>
      </c>
      <c r="AD467" s="783">
        <f t="shared" si="84"/>
        <v>0.20100000000000001</v>
      </c>
      <c r="AE467" s="1321"/>
      <c r="AF467" s="1322"/>
      <c r="AG467" s="740"/>
    </row>
    <row r="468" spans="1:33">
      <c r="A468" s="96">
        <v>301275</v>
      </c>
      <c r="B468" s="1286" t="s">
        <v>366</v>
      </c>
      <c r="C468" s="782">
        <f>'TAR_Tab 2_Volumina'!N471</f>
        <v>1</v>
      </c>
      <c r="D468" s="976"/>
      <c r="E468" s="1318">
        <v>107166.08343409555</v>
      </c>
      <c r="F468" s="1116">
        <f t="shared" si="78"/>
        <v>101979.24499588532</v>
      </c>
      <c r="G468" s="1116">
        <f t="shared" si="79"/>
        <v>104362.6024934575</v>
      </c>
      <c r="H468" s="976"/>
      <c r="I468" s="1117">
        <f t="shared" si="86"/>
        <v>99144.472368784613</v>
      </c>
      <c r="J468" s="1117">
        <f t="shared" si="86"/>
        <v>109580.73261813038</v>
      </c>
      <c r="K468" s="1320"/>
      <c r="L468" s="1000" t="str">
        <f t="shared" si="80"/>
        <v/>
      </c>
      <c r="M468" s="1118">
        <f t="shared" si="81"/>
        <v>104362.6024934575</v>
      </c>
      <c r="N468" s="976"/>
      <c r="O468" s="1119">
        <f t="shared" si="85"/>
        <v>-4840.1140488113742</v>
      </c>
      <c r="P468" s="1119">
        <f t="shared" si="85"/>
        <v>5008.2283226887121</v>
      </c>
      <c r="Q468" s="1119">
        <f t="shared" si="85"/>
        <v>0</v>
      </c>
      <c r="R468" s="1119">
        <f t="shared" si="85"/>
        <v>188.67249153610786</v>
      </c>
      <c r="S468" s="1119">
        <f t="shared" si="85"/>
        <v>4369.6190894048386</v>
      </c>
      <c r="T468" s="1119">
        <f t="shared" si="85"/>
        <v>-571.85465187891111</v>
      </c>
      <c r="U468" s="1119">
        <f t="shared" si="85"/>
        <v>-21.513817667871677</v>
      </c>
      <c r="V468" s="1119">
        <f t="shared" si="85"/>
        <v>-1778.8155464288907</v>
      </c>
      <c r="W468" s="1119">
        <f t="shared" si="85"/>
        <v>140.35465746218711</v>
      </c>
      <c r="X468" s="978"/>
      <c r="Y468" s="1120">
        <f t="shared" si="82"/>
        <v>106857.17898976229</v>
      </c>
      <c r="Z468" s="1354"/>
      <c r="AA468" s="1001">
        <v>0.34599574206064393</v>
      </c>
      <c r="AB468" s="978"/>
      <c r="AC468" s="1036">
        <f t="shared" si="83"/>
        <v>0.34599574206064393</v>
      </c>
      <c r="AD468" s="783">
        <f t="shared" si="84"/>
        <v>0.34599999999999997</v>
      </c>
      <c r="AE468" s="1321"/>
      <c r="AF468" s="1322"/>
      <c r="AG468" s="740"/>
    </row>
    <row r="469" spans="1:33">
      <c r="A469" s="96">
        <v>301276</v>
      </c>
      <c r="B469" s="1286" t="s">
        <v>47</v>
      </c>
      <c r="C469" s="782">
        <f>'TAR_Tab 2_Volumina'!N472</f>
        <v>0</v>
      </c>
      <c r="D469" s="976"/>
      <c r="E469" s="1318">
        <v>0</v>
      </c>
      <c r="F469" s="1116">
        <f t="shared" si="78"/>
        <v>0</v>
      </c>
      <c r="G469" s="1116">
        <f t="shared" si="79"/>
        <v>0</v>
      </c>
      <c r="H469" s="976"/>
      <c r="I469" s="1117">
        <f t="shared" si="86"/>
        <v>0</v>
      </c>
      <c r="J469" s="1117">
        <f t="shared" si="86"/>
        <v>0</v>
      </c>
      <c r="K469" s="1320"/>
      <c r="L469" s="1000" t="str">
        <f t="shared" si="80"/>
        <v/>
      </c>
      <c r="M469" s="1118">
        <f t="shared" si="81"/>
        <v>0</v>
      </c>
      <c r="N469" s="976"/>
      <c r="O469" s="1119">
        <f t="shared" si="85"/>
        <v>0</v>
      </c>
      <c r="P469" s="1119">
        <f t="shared" si="85"/>
        <v>0</v>
      </c>
      <c r="Q469" s="1119">
        <f t="shared" si="85"/>
        <v>0</v>
      </c>
      <c r="R469" s="1119">
        <f t="shared" si="85"/>
        <v>0</v>
      </c>
      <c r="S469" s="1119">
        <f t="shared" si="85"/>
        <v>0</v>
      </c>
      <c r="T469" s="1119">
        <f t="shared" si="85"/>
        <v>0</v>
      </c>
      <c r="U469" s="1119">
        <f t="shared" si="85"/>
        <v>0</v>
      </c>
      <c r="V469" s="1119">
        <f t="shared" si="85"/>
        <v>0</v>
      </c>
      <c r="W469" s="1119">
        <f t="shared" si="85"/>
        <v>0</v>
      </c>
      <c r="X469" s="978"/>
      <c r="Y469" s="1120">
        <f t="shared" si="82"/>
        <v>0</v>
      </c>
      <c r="Z469" s="1354"/>
      <c r="AA469" s="1001">
        <v>0</v>
      </c>
      <c r="AB469" s="978"/>
      <c r="AC469" s="1036">
        <f t="shared" si="83"/>
        <v>0</v>
      </c>
      <c r="AD469" s="783">
        <f t="shared" si="84"/>
        <v>0</v>
      </c>
      <c r="AE469" s="1321"/>
      <c r="AF469" s="1322"/>
      <c r="AG469" s="740"/>
    </row>
    <row r="470" spans="1:33">
      <c r="A470" s="96">
        <v>301304</v>
      </c>
      <c r="B470" s="1286" t="s">
        <v>255</v>
      </c>
      <c r="C470" s="782">
        <f>'TAR_Tab 2_Volumina'!N473</f>
        <v>0</v>
      </c>
      <c r="D470" s="976"/>
      <c r="E470" s="1318">
        <v>0</v>
      </c>
      <c r="F470" s="1116">
        <f t="shared" si="78"/>
        <v>0</v>
      </c>
      <c r="G470" s="1116">
        <f t="shared" si="79"/>
        <v>0</v>
      </c>
      <c r="H470" s="976"/>
      <c r="I470" s="1117">
        <f t="shared" si="86"/>
        <v>0</v>
      </c>
      <c r="J470" s="1117">
        <f t="shared" si="86"/>
        <v>0</v>
      </c>
      <c r="K470" s="1320"/>
      <c r="L470" s="1000" t="str">
        <f t="shared" si="80"/>
        <v/>
      </c>
      <c r="M470" s="1118">
        <f t="shared" si="81"/>
        <v>0</v>
      </c>
      <c r="N470" s="976"/>
      <c r="O470" s="1119">
        <f t="shared" si="85"/>
        <v>0</v>
      </c>
      <c r="P470" s="1119">
        <f t="shared" si="85"/>
        <v>0</v>
      </c>
      <c r="Q470" s="1119">
        <f t="shared" si="85"/>
        <v>0</v>
      </c>
      <c r="R470" s="1119">
        <f t="shared" si="85"/>
        <v>0</v>
      </c>
      <c r="S470" s="1119">
        <f t="shared" si="85"/>
        <v>0</v>
      </c>
      <c r="T470" s="1119">
        <f t="shared" si="85"/>
        <v>0</v>
      </c>
      <c r="U470" s="1119">
        <f t="shared" si="85"/>
        <v>0</v>
      </c>
      <c r="V470" s="1119">
        <f t="shared" si="85"/>
        <v>0</v>
      </c>
      <c r="W470" s="1119">
        <f t="shared" si="85"/>
        <v>0</v>
      </c>
      <c r="X470" s="978"/>
      <c r="Y470" s="1120">
        <f t="shared" si="82"/>
        <v>0</v>
      </c>
      <c r="Z470" s="1354"/>
      <c r="AA470" s="1001">
        <v>0</v>
      </c>
      <c r="AB470" s="978"/>
      <c r="AC470" s="1036">
        <f t="shared" si="83"/>
        <v>0</v>
      </c>
      <c r="AD470" s="783">
        <f t="shared" si="84"/>
        <v>0</v>
      </c>
      <c r="AE470" s="1321"/>
      <c r="AF470" s="1322"/>
      <c r="AG470" s="740"/>
    </row>
    <row r="471" spans="1:33">
      <c r="A471" s="96">
        <v>301305</v>
      </c>
      <c r="B471" s="1286" t="s">
        <v>238</v>
      </c>
      <c r="C471" s="782">
        <f>'TAR_Tab 2_Volumina'!N474</f>
        <v>0</v>
      </c>
      <c r="D471" s="976"/>
      <c r="E471" s="1318">
        <v>0</v>
      </c>
      <c r="F471" s="1116">
        <f t="shared" si="78"/>
        <v>0</v>
      </c>
      <c r="G471" s="1116">
        <f t="shared" si="79"/>
        <v>0</v>
      </c>
      <c r="H471" s="976"/>
      <c r="I471" s="1117">
        <f t="shared" si="86"/>
        <v>0</v>
      </c>
      <c r="J471" s="1117">
        <f t="shared" si="86"/>
        <v>0</v>
      </c>
      <c r="K471" s="1320"/>
      <c r="L471" s="1000" t="str">
        <f t="shared" si="80"/>
        <v/>
      </c>
      <c r="M471" s="1118">
        <f t="shared" si="81"/>
        <v>0</v>
      </c>
      <c r="N471" s="976"/>
      <c r="O471" s="1119">
        <f t="shared" si="85"/>
        <v>0</v>
      </c>
      <c r="P471" s="1119">
        <f t="shared" si="85"/>
        <v>0</v>
      </c>
      <c r="Q471" s="1119">
        <f t="shared" si="85"/>
        <v>0</v>
      </c>
      <c r="R471" s="1119">
        <f t="shared" si="85"/>
        <v>0</v>
      </c>
      <c r="S471" s="1119">
        <f t="shared" si="85"/>
        <v>0</v>
      </c>
      <c r="T471" s="1119">
        <f t="shared" si="85"/>
        <v>0</v>
      </c>
      <c r="U471" s="1119">
        <f t="shared" si="85"/>
        <v>0</v>
      </c>
      <c r="V471" s="1119">
        <f t="shared" si="85"/>
        <v>0</v>
      </c>
      <c r="W471" s="1119">
        <f t="shared" si="85"/>
        <v>0</v>
      </c>
      <c r="X471" s="978"/>
      <c r="Y471" s="1120">
        <f t="shared" si="82"/>
        <v>0</v>
      </c>
      <c r="Z471" s="1354"/>
      <c r="AA471" s="1001">
        <v>0</v>
      </c>
      <c r="AB471" s="978"/>
      <c r="AC471" s="1036">
        <f t="shared" si="83"/>
        <v>0</v>
      </c>
      <c r="AD471" s="783">
        <f t="shared" si="84"/>
        <v>0</v>
      </c>
      <c r="AE471" s="1321"/>
      <c r="AF471" s="1322"/>
      <c r="AG471" s="740"/>
    </row>
    <row r="472" spans="1:33">
      <c r="A472" s="96">
        <v>301306</v>
      </c>
      <c r="B472" s="1286" t="s">
        <v>239</v>
      </c>
      <c r="C472" s="782">
        <f>'TAR_Tab 2_Volumina'!N475</f>
        <v>0</v>
      </c>
      <c r="D472" s="976"/>
      <c r="E472" s="1318">
        <v>0</v>
      </c>
      <c r="F472" s="1116">
        <f t="shared" si="78"/>
        <v>0</v>
      </c>
      <c r="G472" s="1116">
        <f t="shared" si="79"/>
        <v>0</v>
      </c>
      <c r="H472" s="976"/>
      <c r="I472" s="1117">
        <f t="shared" si="86"/>
        <v>0</v>
      </c>
      <c r="J472" s="1117">
        <f t="shared" si="86"/>
        <v>0</v>
      </c>
      <c r="K472" s="1320"/>
      <c r="L472" s="1000" t="str">
        <f t="shared" si="80"/>
        <v/>
      </c>
      <c r="M472" s="1118">
        <f t="shared" si="81"/>
        <v>0</v>
      </c>
      <c r="N472" s="976"/>
      <c r="O472" s="1119">
        <f t="shared" si="85"/>
        <v>0</v>
      </c>
      <c r="P472" s="1119">
        <f t="shared" si="85"/>
        <v>0</v>
      </c>
      <c r="Q472" s="1119">
        <f t="shared" si="85"/>
        <v>0</v>
      </c>
      <c r="R472" s="1119">
        <f t="shared" si="85"/>
        <v>0</v>
      </c>
      <c r="S472" s="1119">
        <f t="shared" si="85"/>
        <v>0</v>
      </c>
      <c r="T472" s="1119">
        <f t="shared" si="85"/>
        <v>0</v>
      </c>
      <c r="U472" s="1119">
        <f t="shared" si="85"/>
        <v>0</v>
      </c>
      <c r="V472" s="1119">
        <f t="shared" si="85"/>
        <v>0</v>
      </c>
      <c r="W472" s="1119">
        <f t="shared" si="85"/>
        <v>0</v>
      </c>
      <c r="X472" s="978"/>
      <c r="Y472" s="1120">
        <f t="shared" si="82"/>
        <v>0</v>
      </c>
      <c r="Z472" s="1354"/>
      <c r="AA472" s="1001">
        <v>0</v>
      </c>
      <c r="AB472" s="978"/>
      <c r="AC472" s="1036">
        <f t="shared" si="83"/>
        <v>0</v>
      </c>
      <c r="AD472" s="783">
        <f t="shared" si="84"/>
        <v>0</v>
      </c>
      <c r="AE472" s="1321"/>
      <c r="AF472" s="1322"/>
      <c r="AG472" s="740"/>
    </row>
    <row r="473" spans="1:33">
      <c r="A473" s="96">
        <v>301309</v>
      </c>
      <c r="B473" s="1286" t="s">
        <v>48</v>
      </c>
      <c r="C473" s="782">
        <f>'TAR_Tab 2_Volumina'!N476</f>
        <v>0</v>
      </c>
      <c r="D473" s="976"/>
      <c r="E473" s="1318">
        <v>0</v>
      </c>
      <c r="F473" s="1116">
        <f t="shared" si="78"/>
        <v>0</v>
      </c>
      <c r="G473" s="1116">
        <f t="shared" si="79"/>
        <v>0</v>
      </c>
      <c r="H473" s="976"/>
      <c r="I473" s="1117">
        <f t="shared" si="86"/>
        <v>0</v>
      </c>
      <c r="J473" s="1117">
        <f t="shared" si="86"/>
        <v>0</v>
      </c>
      <c r="K473" s="1320"/>
      <c r="L473" s="1000" t="str">
        <f t="shared" si="80"/>
        <v/>
      </c>
      <c r="M473" s="1118">
        <f t="shared" si="81"/>
        <v>0</v>
      </c>
      <c r="N473" s="976"/>
      <c r="O473" s="1119">
        <f t="shared" si="85"/>
        <v>0</v>
      </c>
      <c r="P473" s="1119">
        <f t="shared" si="85"/>
        <v>0</v>
      </c>
      <c r="Q473" s="1119">
        <f t="shared" si="85"/>
        <v>0</v>
      </c>
      <c r="R473" s="1119">
        <f t="shared" si="85"/>
        <v>0</v>
      </c>
      <c r="S473" s="1119">
        <f t="shared" si="85"/>
        <v>0</v>
      </c>
      <c r="T473" s="1119">
        <f t="shared" si="85"/>
        <v>0</v>
      </c>
      <c r="U473" s="1119">
        <f t="shared" si="85"/>
        <v>0</v>
      </c>
      <c r="V473" s="1119">
        <f t="shared" si="85"/>
        <v>0</v>
      </c>
      <c r="W473" s="1119">
        <f t="shared" si="85"/>
        <v>0</v>
      </c>
      <c r="X473" s="978"/>
      <c r="Y473" s="1120">
        <f t="shared" si="82"/>
        <v>0</v>
      </c>
      <c r="Z473" s="1354"/>
      <c r="AA473" s="1001">
        <v>0</v>
      </c>
      <c r="AB473" s="978"/>
      <c r="AC473" s="1036">
        <f t="shared" si="83"/>
        <v>0</v>
      </c>
      <c r="AD473" s="783">
        <f t="shared" si="84"/>
        <v>0</v>
      </c>
      <c r="AE473" s="1321"/>
      <c r="AF473" s="1322"/>
      <c r="AG473" s="740"/>
    </row>
    <row r="474" spans="1:33">
      <c r="A474" s="96">
        <v>301312</v>
      </c>
      <c r="B474" s="1286" t="s">
        <v>367</v>
      </c>
      <c r="C474" s="782">
        <f>'TAR_Tab 2_Volumina'!N477</f>
        <v>0</v>
      </c>
      <c r="D474" s="976"/>
      <c r="E474" s="1318">
        <v>0</v>
      </c>
      <c r="F474" s="1116">
        <f t="shared" si="78"/>
        <v>0</v>
      </c>
      <c r="G474" s="1116">
        <f t="shared" si="79"/>
        <v>0</v>
      </c>
      <c r="H474" s="976"/>
      <c r="I474" s="1117">
        <f t="shared" si="86"/>
        <v>0</v>
      </c>
      <c r="J474" s="1117">
        <f t="shared" si="86"/>
        <v>0</v>
      </c>
      <c r="K474" s="1320"/>
      <c r="L474" s="1000" t="str">
        <f t="shared" si="80"/>
        <v/>
      </c>
      <c r="M474" s="1118">
        <f t="shared" si="81"/>
        <v>0</v>
      </c>
      <c r="N474" s="976"/>
      <c r="O474" s="1119">
        <f t="shared" si="85"/>
        <v>0</v>
      </c>
      <c r="P474" s="1119">
        <f t="shared" si="85"/>
        <v>0</v>
      </c>
      <c r="Q474" s="1119">
        <f t="shared" si="85"/>
        <v>0</v>
      </c>
      <c r="R474" s="1119">
        <f t="shared" si="85"/>
        <v>0</v>
      </c>
      <c r="S474" s="1119">
        <f t="shared" si="85"/>
        <v>0</v>
      </c>
      <c r="T474" s="1119">
        <f t="shared" si="85"/>
        <v>0</v>
      </c>
      <c r="U474" s="1119">
        <f t="shared" si="85"/>
        <v>0</v>
      </c>
      <c r="V474" s="1119">
        <f t="shared" si="85"/>
        <v>0</v>
      </c>
      <c r="W474" s="1119">
        <f t="shared" si="85"/>
        <v>0</v>
      </c>
      <c r="X474" s="978"/>
      <c r="Y474" s="1120">
        <f t="shared" si="82"/>
        <v>0</v>
      </c>
      <c r="Z474" s="1354"/>
      <c r="AA474" s="1001">
        <v>0</v>
      </c>
      <c r="AB474" s="978"/>
      <c r="AC474" s="1036">
        <f t="shared" si="83"/>
        <v>0</v>
      </c>
      <c r="AD474" s="783">
        <f t="shared" si="84"/>
        <v>0</v>
      </c>
      <c r="AE474" s="1321"/>
      <c r="AF474" s="1322"/>
      <c r="AG474" s="740"/>
    </row>
    <row r="475" spans="1:33">
      <c r="A475" s="96">
        <v>301313</v>
      </c>
      <c r="B475" s="1286" t="s">
        <v>240</v>
      </c>
      <c r="C475" s="782">
        <f>'TAR_Tab 2_Volumina'!N478</f>
        <v>0</v>
      </c>
      <c r="D475" s="976"/>
      <c r="E475" s="1318">
        <v>0</v>
      </c>
      <c r="F475" s="1116">
        <f t="shared" si="78"/>
        <v>0</v>
      </c>
      <c r="G475" s="1116">
        <f t="shared" si="79"/>
        <v>0</v>
      </c>
      <c r="H475" s="976"/>
      <c r="I475" s="1117">
        <f t="shared" si="86"/>
        <v>0</v>
      </c>
      <c r="J475" s="1117">
        <f t="shared" si="86"/>
        <v>0</v>
      </c>
      <c r="K475" s="1320"/>
      <c r="L475" s="1000" t="str">
        <f t="shared" si="80"/>
        <v/>
      </c>
      <c r="M475" s="1118">
        <f t="shared" si="81"/>
        <v>0</v>
      </c>
      <c r="N475" s="976"/>
      <c r="O475" s="1119">
        <f t="shared" si="85"/>
        <v>0</v>
      </c>
      <c r="P475" s="1119">
        <f t="shared" si="85"/>
        <v>0</v>
      </c>
      <c r="Q475" s="1119">
        <f t="shared" si="85"/>
        <v>0</v>
      </c>
      <c r="R475" s="1119">
        <f t="shared" si="85"/>
        <v>0</v>
      </c>
      <c r="S475" s="1119">
        <f t="shared" si="85"/>
        <v>0</v>
      </c>
      <c r="T475" s="1119">
        <f t="shared" si="85"/>
        <v>0</v>
      </c>
      <c r="U475" s="1119">
        <f t="shared" si="85"/>
        <v>0</v>
      </c>
      <c r="V475" s="1119">
        <f t="shared" si="85"/>
        <v>0</v>
      </c>
      <c r="W475" s="1119">
        <f t="shared" si="85"/>
        <v>0</v>
      </c>
      <c r="X475" s="978"/>
      <c r="Y475" s="1120">
        <f t="shared" si="82"/>
        <v>0</v>
      </c>
      <c r="Z475" s="1354"/>
      <c r="AA475" s="1001">
        <v>0</v>
      </c>
      <c r="AB475" s="978"/>
      <c r="AC475" s="1036">
        <f t="shared" si="83"/>
        <v>0</v>
      </c>
      <c r="AD475" s="783">
        <f t="shared" si="84"/>
        <v>0</v>
      </c>
      <c r="AE475" s="1321"/>
      <c r="AF475" s="1322"/>
      <c r="AG475" s="740"/>
    </row>
    <row r="476" spans="1:33">
      <c r="A476" s="96">
        <v>301319</v>
      </c>
      <c r="B476" s="1286" t="s">
        <v>1206</v>
      </c>
      <c r="C476" s="782">
        <f>'TAR_Tab 2_Volumina'!N479</f>
        <v>0</v>
      </c>
      <c r="D476" s="976"/>
      <c r="E476" s="1318">
        <v>0</v>
      </c>
      <c r="F476" s="1116">
        <f t="shared" si="78"/>
        <v>0</v>
      </c>
      <c r="G476" s="1116">
        <f t="shared" si="79"/>
        <v>0</v>
      </c>
      <c r="H476" s="976"/>
      <c r="I476" s="1117">
        <f t="shared" si="86"/>
        <v>0</v>
      </c>
      <c r="J476" s="1117">
        <f t="shared" si="86"/>
        <v>0</v>
      </c>
      <c r="K476" s="1320"/>
      <c r="L476" s="1000" t="str">
        <f t="shared" si="80"/>
        <v/>
      </c>
      <c r="M476" s="1118">
        <f t="shared" si="81"/>
        <v>0</v>
      </c>
      <c r="N476" s="976"/>
      <c r="O476" s="1119">
        <f t="shared" si="85"/>
        <v>0</v>
      </c>
      <c r="P476" s="1119">
        <f t="shared" si="85"/>
        <v>0</v>
      </c>
      <c r="Q476" s="1119">
        <f t="shared" si="85"/>
        <v>0</v>
      </c>
      <c r="R476" s="1119">
        <f t="shared" si="85"/>
        <v>0</v>
      </c>
      <c r="S476" s="1119">
        <f t="shared" si="85"/>
        <v>0</v>
      </c>
      <c r="T476" s="1119">
        <f t="shared" si="85"/>
        <v>0</v>
      </c>
      <c r="U476" s="1119">
        <f t="shared" si="85"/>
        <v>0</v>
      </c>
      <c r="V476" s="1119">
        <f t="shared" si="85"/>
        <v>0</v>
      </c>
      <c r="W476" s="1119">
        <f t="shared" si="85"/>
        <v>0</v>
      </c>
      <c r="X476" s="978"/>
      <c r="Y476" s="1120">
        <f t="shared" si="82"/>
        <v>0</v>
      </c>
      <c r="Z476" s="1354"/>
      <c r="AA476" s="1001">
        <v>0</v>
      </c>
      <c r="AB476" s="978"/>
      <c r="AC476" s="1036">
        <f t="shared" si="83"/>
        <v>0</v>
      </c>
      <c r="AD476" s="783">
        <f t="shared" si="84"/>
        <v>0</v>
      </c>
      <c r="AE476" s="1321"/>
      <c r="AF476" s="1322"/>
      <c r="AG476" s="740"/>
    </row>
    <row r="477" spans="1:33">
      <c r="A477" s="96">
        <v>301320</v>
      </c>
      <c r="B477" s="1286" t="s">
        <v>830</v>
      </c>
      <c r="C477" s="782">
        <f>'TAR_Tab 2_Volumina'!N480</f>
        <v>0</v>
      </c>
      <c r="D477" s="976"/>
      <c r="E477" s="1318">
        <v>0</v>
      </c>
      <c r="F477" s="1116">
        <f t="shared" si="78"/>
        <v>0</v>
      </c>
      <c r="G477" s="1116">
        <f t="shared" si="79"/>
        <v>0</v>
      </c>
      <c r="H477" s="976"/>
      <c r="I477" s="1117">
        <f t="shared" si="86"/>
        <v>0</v>
      </c>
      <c r="J477" s="1117">
        <f t="shared" si="86"/>
        <v>0</v>
      </c>
      <c r="K477" s="1320"/>
      <c r="L477" s="1000" t="str">
        <f t="shared" si="80"/>
        <v/>
      </c>
      <c r="M477" s="1118">
        <f t="shared" si="81"/>
        <v>0</v>
      </c>
      <c r="N477" s="976"/>
      <c r="O477" s="1119">
        <f t="shared" si="85"/>
        <v>0</v>
      </c>
      <c r="P477" s="1119">
        <f t="shared" si="85"/>
        <v>0</v>
      </c>
      <c r="Q477" s="1119">
        <f t="shared" si="85"/>
        <v>0</v>
      </c>
      <c r="R477" s="1119">
        <f t="shared" si="85"/>
        <v>0</v>
      </c>
      <c r="S477" s="1119">
        <f t="shared" si="85"/>
        <v>0</v>
      </c>
      <c r="T477" s="1119">
        <f t="shared" si="85"/>
        <v>0</v>
      </c>
      <c r="U477" s="1119">
        <f t="shared" si="85"/>
        <v>0</v>
      </c>
      <c r="V477" s="1119">
        <f t="shared" si="85"/>
        <v>0</v>
      </c>
      <c r="W477" s="1119">
        <f t="shared" si="85"/>
        <v>0</v>
      </c>
      <c r="X477" s="978"/>
      <c r="Y477" s="1120">
        <f t="shared" si="82"/>
        <v>0</v>
      </c>
      <c r="Z477" s="1354"/>
      <c r="AA477" s="1001">
        <v>0</v>
      </c>
      <c r="AB477" s="978"/>
      <c r="AC477" s="1036">
        <f t="shared" si="83"/>
        <v>0</v>
      </c>
      <c r="AD477" s="783">
        <f t="shared" si="84"/>
        <v>0</v>
      </c>
      <c r="AE477" s="1321"/>
      <c r="AF477" s="1322"/>
      <c r="AG477" s="740"/>
    </row>
    <row r="478" spans="1:33">
      <c r="A478" s="96">
        <v>301321</v>
      </c>
      <c r="B478" s="1286" t="s">
        <v>241</v>
      </c>
      <c r="C478" s="782">
        <f>'TAR_Tab 2_Volumina'!N481</f>
        <v>0</v>
      </c>
      <c r="D478" s="976"/>
      <c r="E478" s="1318">
        <v>0</v>
      </c>
      <c r="F478" s="1116">
        <f t="shared" si="78"/>
        <v>0</v>
      </c>
      <c r="G478" s="1116">
        <f t="shared" si="79"/>
        <v>0</v>
      </c>
      <c r="H478" s="976"/>
      <c r="I478" s="1117">
        <f t="shared" si="86"/>
        <v>0</v>
      </c>
      <c r="J478" s="1117">
        <f t="shared" si="86"/>
        <v>0</v>
      </c>
      <c r="K478" s="1320"/>
      <c r="L478" s="1000" t="str">
        <f t="shared" si="80"/>
        <v/>
      </c>
      <c r="M478" s="1118">
        <f t="shared" si="81"/>
        <v>0</v>
      </c>
      <c r="N478" s="976"/>
      <c r="O478" s="1119">
        <f t="shared" si="85"/>
        <v>0</v>
      </c>
      <c r="P478" s="1119">
        <f t="shared" si="85"/>
        <v>0</v>
      </c>
      <c r="Q478" s="1119">
        <f t="shared" si="85"/>
        <v>0</v>
      </c>
      <c r="R478" s="1119">
        <f t="shared" si="85"/>
        <v>0</v>
      </c>
      <c r="S478" s="1119">
        <f t="shared" si="85"/>
        <v>0</v>
      </c>
      <c r="T478" s="1119">
        <f t="shared" si="85"/>
        <v>0</v>
      </c>
      <c r="U478" s="1119">
        <f t="shared" si="85"/>
        <v>0</v>
      </c>
      <c r="V478" s="1119">
        <f t="shared" si="85"/>
        <v>0</v>
      </c>
      <c r="W478" s="1119">
        <f t="shared" si="85"/>
        <v>0</v>
      </c>
      <c r="X478" s="978"/>
      <c r="Y478" s="1120">
        <f t="shared" si="82"/>
        <v>0</v>
      </c>
      <c r="Z478" s="1354"/>
      <c r="AA478" s="1001">
        <v>0</v>
      </c>
      <c r="AB478" s="978"/>
      <c r="AC478" s="1036">
        <f t="shared" si="83"/>
        <v>0</v>
      </c>
      <c r="AD478" s="783">
        <f t="shared" si="84"/>
        <v>0</v>
      </c>
      <c r="AE478" s="1321"/>
      <c r="AF478" s="1322"/>
      <c r="AG478" s="740"/>
    </row>
    <row r="479" spans="1:33">
      <c r="A479" s="96">
        <v>301323</v>
      </c>
      <c r="B479" s="1286" t="s">
        <v>368</v>
      </c>
      <c r="C479" s="782">
        <f>'TAR_Tab 2_Volumina'!N482</f>
        <v>1</v>
      </c>
      <c r="D479" s="976"/>
      <c r="E479" s="1318">
        <v>178610.13905682589</v>
      </c>
      <c r="F479" s="1116">
        <f t="shared" si="78"/>
        <v>169965.40832647553</v>
      </c>
      <c r="G479" s="1116">
        <f t="shared" si="79"/>
        <v>173937.67082242915</v>
      </c>
      <c r="H479" s="976"/>
      <c r="I479" s="1117">
        <f t="shared" si="86"/>
        <v>165240.78728130768</v>
      </c>
      <c r="J479" s="1117">
        <f t="shared" si="86"/>
        <v>182634.55436355062</v>
      </c>
      <c r="K479" s="1320"/>
      <c r="L479" s="1000" t="str">
        <f t="shared" si="80"/>
        <v/>
      </c>
      <c r="M479" s="1118">
        <f t="shared" si="81"/>
        <v>173937.67082242915</v>
      </c>
      <c r="N479" s="976"/>
      <c r="O479" s="1119">
        <f t="shared" si="85"/>
        <v>-8066.8567480189568</v>
      </c>
      <c r="P479" s="1119">
        <f t="shared" si="85"/>
        <v>8347.0472044811868</v>
      </c>
      <c r="Q479" s="1119">
        <f t="shared" si="85"/>
        <v>0</v>
      </c>
      <c r="R479" s="1119">
        <f t="shared" si="85"/>
        <v>314.45415256017975</v>
      </c>
      <c r="S479" s="1119">
        <f t="shared" si="85"/>
        <v>7282.6984823413968</v>
      </c>
      <c r="T479" s="1119">
        <f t="shared" si="85"/>
        <v>-953.09108646485174</v>
      </c>
      <c r="U479" s="1119">
        <f t="shared" si="85"/>
        <v>-35.856362779786124</v>
      </c>
      <c r="V479" s="1119">
        <f t="shared" si="85"/>
        <v>-2964.6925773814842</v>
      </c>
      <c r="W479" s="1119">
        <f t="shared" si="85"/>
        <v>233.92442910364517</v>
      </c>
      <c r="X479" s="978"/>
      <c r="Y479" s="1120">
        <f t="shared" si="82"/>
        <v>178095.29831627049</v>
      </c>
      <c r="Z479" s="1354"/>
      <c r="AA479" s="1001">
        <v>0.17352866255964935</v>
      </c>
      <c r="AB479" s="978"/>
      <c r="AC479" s="1036">
        <f t="shared" si="83"/>
        <v>0.17352866255964935</v>
      </c>
      <c r="AD479" s="783">
        <f t="shared" si="84"/>
        <v>0.17399999999999999</v>
      </c>
      <c r="AE479" s="1321"/>
      <c r="AF479" s="1322"/>
      <c r="AG479" s="740"/>
    </row>
    <row r="480" spans="1:33">
      <c r="A480" s="96">
        <v>301324</v>
      </c>
      <c r="B480" s="1286" t="s">
        <v>369</v>
      </c>
      <c r="C480" s="782">
        <f>'TAR_Tab 2_Volumina'!N483</f>
        <v>1</v>
      </c>
      <c r="D480" s="976"/>
      <c r="E480" s="1318">
        <v>125027.09733977813</v>
      </c>
      <c r="F480" s="1116">
        <f t="shared" si="78"/>
        <v>118975.78582853287</v>
      </c>
      <c r="G480" s="1116">
        <f t="shared" si="79"/>
        <v>121756.3695757004</v>
      </c>
      <c r="H480" s="976"/>
      <c r="I480" s="1117">
        <f t="shared" si="86"/>
        <v>115668.55109691538</v>
      </c>
      <c r="J480" s="1117">
        <f t="shared" si="86"/>
        <v>127844.18805448542</v>
      </c>
      <c r="K480" s="1320"/>
      <c r="L480" s="1000" t="str">
        <f t="shared" si="80"/>
        <v/>
      </c>
      <c r="M480" s="1118">
        <f t="shared" si="81"/>
        <v>121756.3695757004</v>
      </c>
      <c r="N480" s="976"/>
      <c r="O480" s="1119">
        <f t="shared" si="85"/>
        <v>-5646.7997236132696</v>
      </c>
      <c r="P480" s="1119">
        <f t="shared" si="85"/>
        <v>5842.9330431368307</v>
      </c>
      <c r="Q480" s="1119">
        <f t="shared" si="85"/>
        <v>0</v>
      </c>
      <c r="R480" s="1119">
        <f t="shared" si="85"/>
        <v>220.11790679212581</v>
      </c>
      <c r="S480" s="1119">
        <f t="shared" si="85"/>
        <v>5097.8889376389779</v>
      </c>
      <c r="T480" s="1119">
        <f t="shared" si="85"/>
        <v>-667.16376052539624</v>
      </c>
      <c r="U480" s="1119">
        <f t="shared" si="85"/>
        <v>-25.099453945850289</v>
      </c>
      <c r="V480" s="1119">
        <f t="shared" si="85"/>
        <v>-2075.2848041670391</v>
      </c>
      <c r="W480" s="1119">
        <f t="shared" si="85"/>
        <v>163.74710037255161</v>
      </c>
      <c r="X480" s="978"/>
      <c r="Y480" s="1120">
        <f t="shared" si="82"/>
        <v>124666.70882138933</v>
      </c>
      <c r="Z480" s="1354"/>
      <c r="AA480" s="1001">
        <v>0.11350800306515692</v>
      </c>
      <c r="AB480" s="978"/>
      <c r="AC480" s="1036">
        <f t="shared" si="83"/>
        <v>0.11350800306515692</v>
      </c>
      <c r="AD480" s="783">
        <f t="shared" si="84"/>
        <v>0.114</v>
      </c>
      <c r="AE480" s="1321"/>
      <c r="AF480" s="1322"/>
      <c r="AG480" s="740"/>
    </row>
    <row r="481" spans="1:33">
      <c r="A481" s="96">
        <v>301325</v>
      </c>
      <c r="B481" s="1286" t="s">
        <v>370</v>
      </c>
      <c r="C481" s="782">
        <f>'TAR_Tab 2_Volumina'!N484</f>
        <v>1</v>
      </c>
      <c r="D481" s="976"/>
      <c r="E481" s="1318">
        <v>107166.08343409555</v>
      </c>
      <c r="F481" s="1116">
        <f t="shared" si="78"/>
        <v>101979.24499588532</v>
      </c>
      <c r="G481" s="1116">
        <f t="shared" si="79"/>
        <v>104362.6024934575</v>
      </c>
      <c r="H481" s="976"/>
      <c r="I481" s="1117">
        <f t="shared" si="86"/>
        <v>99144.472368784613</v>
      </c>
      <c r="J481" s="1117">
        <f t="shared" si="86"/>
        <v>109580.73261813038</v>
      </c>
      <c r="K481" s="1320"/>
      <c r="L481" s="1000" t="str">
        <f t="shared" si="80"/>
        <v/>
      </c>
      <c r="M481" s="1118">
        <f t="shared" si="81"/>
        <v>104362.6024934575</v>
      </c>
      <c r="N481" s="976"/>
      <c r="O481" s="1119">
        <f t="shared" si="85"/>
        <v>-4840.1140488113742</v>
      </c>
      <c r="P481" s="1119">
        <f t="shared" si="85"/>
        <v>5008.2283226887121</v>
      </c>
      <c r="Q481" s="1119">
        <f t="shared" si="85"/>
        <v>0</v>
      </c>
      <c r="R481" s="1119">
        <f t="shared" si="85"/>
        <v>188.67249153610786</v>
      </c>
      <c r="S481" s="1119">
        <f t="shared" si="85"/>
        <v>4369.6190894048386</v>
      </c>
      <c r="T481" s="1119">
        <f t="shared" si="85"/>
        <v>-571.85465187891111</v>
      </c>
      <c r="U481" s="1119">
        <f t="shared" si="85"/>
        <v>-21.513817667871677</v>
      </c>
      <c r="V481" s="1119">
        <f t="shared" si="85"/>
        <v>-1778.8155464288907</v>
      </c>
      <c r="W481" s="1119">
        <f t="shared" si="85"/>
        <v>140.35465746218711</v>
      </c>
      <c r="X481" s="978"/>
      <c r="Y481" s="1120">
        <f t="shared" si="82"/>
        <v>106857.17898976229</v>
      </c>
      <c r="Z481" s="1354"/>
      <c r="AA481" s="1001">
        <v>0.11606175682657063</v>
      </c>
      <c r="AB481" s="978"/>
      <c r="AC481" s="1036">
        <f t="shared" si="83"/>
        <v>0.11606175682657063</v>
      </c>
      <c r="AD481" s="783">
        <f t="shared" si="84"/>
        <v>0.11600000000000001</v>
      </c>
      <c r="AE481" s="1321"/>
      <c r="AF481" s="1322"/>
      <c r="AG481" s="740"/>
    </row>
    <row r="482" spans="1:33">
      <c r="A482" s="96">
        <v>301327</v>
      </c>
      <c r="B482" s="1286" t="s">
        <v>17</v>
      </c>
      <c r="C482" s="782">
        <f>'TAR_Tab 2_Volumina'!N485</f>
        <v>1</v>
      </c>
      <c r="D482" s="976"/>
      <c r="E482" s="1318">
        <v>53583.041717047774</v>
      </c>
      <c r="F482" s="1116">
        <f t="shared" si="78"/>
        <v>50989.622497942662</v>
      </c>
      <c r="G482" s="1116">
        <f t="shared" si="79"/>
        <v>52181.301246728748</v>
      </c>
      <c r="H482" s="976"/>
      <c r="I482" s="1117">
        <f t="shared" si="86"/>
        <v>49572.236184392306</v>
      </c>
      <c r="J482" s="1117">
        <f t="shared" si="86"/>
        <v>54790.36630906519</v>
      </c>
      <c r="K482" s="1320"/>
      <c r="L482" s="1000" t="str">
        <f t="shared" si="80"/>
        <v/>
      </c>
      <c r="M482" s="1118">
        <f t="shared" si="81"/>
        <v>52181.301246728748</v>
      </c>
      <c r="N482" s="976"/>
      <c r="O482" s="1119">
        <f t="shared" si="85"/>
        <v>-2420.0570244056871</v>
      </c>
      <c r="P482" s="1119">
        <f t="shared" si="85"/>
        <v>2504.114161344356</v>
      </c>
      <c r="Q482" s="1119">
        <f t="shared" si="85"/>
        <v>0</v>
      </c>
      <c r="R482" s="1119">
        <f t="shared" si="85"/>
        <v>94.336245768053928</v>
      </c>
      <c r="S482" s="1119">
        <f t="shared" si="85"/>
        <v>2184.8095447024193</v>
      </c>
      <c r="T482" s="1119">
        <f t="shared" si="85"/>
        <v>-285.92732593945556</v>
      </c>
      <c r="U482" s="1119">
        <f t="shared" si="85"/>
        <v>-10.756908833935839</v>
      </c>
      <c r="V482" s="1119">
        <f t="shared" si="85"/>
        <v>-889.40777321444534</v>
      </c>
      <c r="W482" s="1119">
        <f t="shared" si="85"/>
        <v>70.177328731093553</v>
      </c>
      <c r="X482" s="978"/>
      <c r="Y482" s="1120">
        <f t="shared" si="82"/>
        <v>53428.589494881147</v>
      </c>
      <c r="Z482" s="1354"/>
      <c r="AA482" s="1001">
        <v>0.13359290790833983</v>
      </c>
      <c r="AB482" s="978"/>
      <c r="AC482" s="1036">
        <f t="shared" si="83"/>
        <v>0.13359290790833983</v>
      </c>
      <c r="AD482" s="783">
        <f t="shared" si="84"/>
        <v>0.13400000000000001</v>
      </c>
      <c r="AE482" s="1321"/>
      <c r="AF482" s="1322"/>
      <c r="AG482" s="740"/>
    </row>
    <row r="483" spans="1:33">
      <c r="A483" s="96">
        <v>301328</v>
      </c>
      <c r="B483" s="1286" t="s">
        <v>18</v>
      </c>
      <c r="C483" s="782">
        <f>'TAR_Tab 2_Volumina'!N486</f>
        <v>1</v>
      </c>
      <c r="D483" s="976"/>
      <c r="E483" s="1318">
        <v>142888.11124546072</v>
      </c>
      <c r="F483" s="1116">
        <f t="shared" si="78"/>
        <v>135972.32666118041</v>
      </c>
      <c r="G483" s="1116">
        <f t="shared" si="79"/>
        <v>139150.13665794331</v>
      </c>
      <c r="H483" s="976"/>
      <c r="I483" s="1117">
        <f t="shared" si="86"/>
        <v>132192.62982504614</v>
      </c>
      <c r="J483" s="1117">
        <f t="shared" si="86"/>
        <v>146107.64349084048</v>
      </c>
      <c r="K483" s="1320"/>
      <c r="L483" s="1000" t="str">
        <f t="shared" si="80"/>
        <v/>
      </c>
      <c r="M483" s="1118">
        <f t="shared" si="81"/>
        <v>139150.13665794331</v>
      </c>
      <c r="N483" s="976"/>
      <c r="O483" s="1119">
        <f t="shared" si="85"/>
        <v>-6453.485398415165</v>
      </c>
      <c r="P483" s="1119">
        <f t="shared" si="85"/>
        <v>6677.6377635849485</v>
      </c>
      <c r="Q483" s="1119">
        <f t="shared" si="85"/>
        <v>0</v>
      </c>
      <c r="R483" s="1119">
        <f t="shared" si="85"/>
        <v>251.56332204814376</v>
      </c>
      <c r="S483" s="1119">
        <f t="shared" si="85"/>
        <v>5826.1587858731173</v>
      </c>
      <c r="T483" s="1119">
        <f t="shared" si="85"/>
        <v>-762.47286917188137</v>
      </c>
      <c r="U483" s="1119">
        <f t="shared" si="85"/>
        <v>-28.685090223828897</v>
      </c>
      <c r="V483" s="1119">
        <f t="shared" si="85"/>
        <v>-2371.7540619051874</v>
      </c>
      <c r="W483" s="1119">
        <f t="shared" si="85"/>
        <v>187.13954328291612</v>
      </c>
      <c r="X483" s="978"/>
      <c r="Y483" s="1120">
        <f t="shared" si="82"/>
        <v>142476.23865301636</v>
      </c>
      <c r="Z483" s="1354"/>
      <c r="AA483" s="1001">
        <v>8.9316091511987911E-2</v>
      </c>
      <c r="AB483" s="978"/>
      <c r="AC483" s="1036">
        <f t="shared" si="83"/>
        <v>8.9316091511987911E-2</v>
      </c>
      <c r="AD483" s="783">
        <f t="shared" si="84"/>
        <v>8.8999999999999996E-2</v>
      </c>
      <c r="AE483" s="1321"/>
      <c r="AF483" s="1322"/>
      <c r="AG483" s="740"/>
    </row>
    <row r="484" spans="1:33">
      <c r="A484" s="96">
        <v>301331</v>
      </c>
      <c r="B484" s="1286" t="s">
        <v>242</v>
      </c>
      <c r="C484" s="782">
        <f>'TAR_Tab 2_Volumina'!N487</f>
        <v>0</v>
      </c>
      <c r="D484" s="976"/>
      <c r="E484" s="1318">
        <v>0</v>
      </c>
      <c r="F484" s="1116">
        <f t="shared" si="78"/>
        <v>0</v>
      </c>
      <c r="G484" s="1116">
        <f t="shared" si="79"/>
        <v>0</v>
      </c>
      <c r="H484" s="976"/>
      <c r="I484" s="1117">
        <f t="shared" si="86"/>
        <v>0</v>
      </c>
      <c r="J484" s="1117">
        <f t="shared" si="86"/>
        <v>0</v>
      </c>
      <c r="K484" s="1320"/>
      <c r="L484" s="1000" t="str">
        <f t="shared" si="80"/>
        <v/>
      </c>
      <c r="M484" s="1118">
        <f t="shared" si="81"/>
        <v>0</v>
      </c>
      <c r="N484" s="976"/>
      <c r="O484" s="1119">
        <f t="shared" si="85"/>
        <v>0</v>
      </c>
      <c r="P484" s="1119">
        <f t="shared" si="85"/>
        <v>0</v>
      </c>
      <c r="Q484" s="1119">
        <f t="shared" si="85"/>
        <v>0</v>
      </c>
      <c r="R484" s="1119">
        <f t="shared" si="85"/>
        <v>0</v>
      </c>
      <c r="S484" s="1119">
        <f t="shared" si="85"/>
        <v>0</v>
      </c>
      <c r="T484" s="1119">
        <f t="shared" si="85"/>
        <v>0</v>
      </c>
      <c r="U484" s="1119">
        <f t="shared" si="85"/>
        <v>0</v>
      </c>
      <c r="V484" s="1119">
        <f t="shared" si="85"/>
        <v>0</v>
      </c>
      <c r="W484" s="1119">
        <f t="shared" si="85"/>
        <v>0</v>
      </c>
      <c r="X484" s="978"/>
      <c r="Y484" s="1120">
        <f t="shared" si="82"/>
        <v>0</v>
      </c>
      <c r="Z484" s="1354"/>
      <c r="AA484" s="1001">
        <v>0</v>
      </c>
      <c r="AB484" s="978"/>
      <c r="AC484" s="1036">
        <f t="shared" si="83"/>
        <v>0</v>
      </c>
      <c r="AD484" s="783">
        <f t="shared" si="84"/>
        <v>0</v>
      </c>
      <c r="AE484" s="1321"/>
      <c r="AF484" s="1322"/>
      <c r="AG484" s="740"/>
    </row>
    <row r="485" spans="1:33">
      <c r="A485" s="96">
        <v>301337</v>
      </c>
      <c r="B485" s="1286" t="s">
        <v>655</v>
      </c>
      <c r="C485" s="782">
        <f>'TAR_Tab 2_Volumina'!N488</f>
        <v>0</v>
      </c>
      <c r="D485" s="976"/>
      <c r="E485" s="1318">
        <v>0</v>
      </c>
      <c r="F485" s="1116">
        <f t="shared" si="78"/>
        <v>0</v>
      </c>
      <c r="G485" s="1116">
        <f t="shared" si="79"/>
        <v>0</v>
      </c>
      <c r="H485" s="976"/>
      <c r="I485" s="1117">
        <f t="shared" si="86"/>
        <v>0</v>
      </c>
      <c r="J485" s="1117">
        <f t="shared" si="86"/>
        <v>0</v>
      </c>
      <c r="K485" s="1320"/>
      <c r="L485" s="1000" t="str">
        <f t="shared" si="80"/>
        <v/>
      </c>
      <c r="M485" s="1118">
        <f t="shared" si="81"/>
        <v>0</v>
      </c>
      <c r="N485" s="976"/>
      <c r="O485" s="1119">
        <f t="shared" si="85"/>
        <v>0</v>
      </c>
      <c r="P485" s="1119">
        <f t="shared" si="85"/>
        <v>0</v>
      </c>
      <c r="Q485" s="1119">
        <f t="shared" si="85"/>
        <v>0</v>
      </c>
      <c r="R485" s="1119">
        <f t="shared" si="85"/>
        <v>0</v>
      </c>
      <c r="S485" s="1119">
        <f t="shared" si="85"/>
        <v>0</v>
      </c>
      <c r="T485" s="1119">
        <f t="shared" si="85"/>
        <v>0</v>
      </c>
      <c r="U485" s="1119">
        <f t="shared" si="85"/>
        <v>0</v>
      </c>
      <c r="V485" s="1119">
        <f t="shared" si="85"/>
        <v>0</v>
      </c>
      <c r="W485" s="1119">
        <f t="shared" si="85"/>
        <v>0</v>
      </c>
      <c r="X485" s="978"/>
      <c r="Y485" s="1120">
        <f t="shared" si="82"/>
        <v>0</v>
      </c>
      <c r="Z485" s="1354"/>
      <c r="AA485" s="1001">
        <v>0</v>
      </c>
      <c r="AB485" s="978"/>
      <c r="AC485" s="1036">
        <f t="shared" si="83"/>
        <v>0</v>
      </c>
      <c r="AD485" s="783">
        <f t="shared" si="84"/>
        <v>0</v>
      </c>
      <c r="AE485" s="1321"/>
      <c r="AF485" s="1322"/>
      <c r="AG485" s="740"/>
    </row>
    <row r="486" spans="1:33">
      <c r="A486" s="96">
        <v>301338</v>
      </c>
      <c r="B486" s="1286" t="s">
        <v>243</v>
      </c>
      <c r="C486" s="782">
        <f>'TAR_Tab 2_Volumina'!N489</f>
        <v>1</v>
      </c>
      <c r="D486" s="976"/>
      <c r="E486" s="1318">
        <v>17861.01390568259</v>
      </c>
      <c r="F486" s="1116">
        <f t="shared" si="78"/>
        <v>16996.540832647552</v>
      </c>
      <c r="G486" s="1116">
        <f t="shared" si="79"/>
        <v>17393.767082242914</v>
      </c>
      <c r="H486" s="976"/>
      <c r="I486" s="1117">
        <f t="shared" si="86"/>
        <v>16524.078728130768</v>
      </c>
      <c r="J486" s="1117">
        <f t="shared" si="86"/>
        <v>18263.45543635506</v>
      </c>
      <c r="K486" s="1320"/>
      <c r="L486" s="1000" t="str">
        <f t="shared" si="80"/>
        <v/>
      </c>
      <c r="M486" s="1118">
        <f t="shared" si="81"/>
        <v>17393.767082242914</v>
      </c>
      <c r="N486" s="976"/>
      <c r="O486" s="1119">
        <f t="shared" si="85"/>
        <v>-806.68567480189563</v>
      </c>
      <c r="P486" s="1119">
        <f t="shared" si="85"/>
        <v>834.70472044811856</v>
      </c>
      <c r="Q486" s="1119">
        <f t="shared" si="85"/>
        <v>0</v>
      </c>
      <c r="R486" s="1119">
        <f t="shared" ref="P486:W518" si="87">$M486*R$5</f>
        <v>31.44541525601797</v>
      </c>
      <c r="S486" s="1119">
        <f t="shared" si="87"/>
        <v>728.26984823413966</v>
      </c>
      <c r="T486" s="1119">
        <f t="shared" si="87"/>
        <v>-95.309108646485171</v>
      </c>
      <c r="U486" s="1119">
        <f t="shared" si="87"/>
        <v>-3.5856362779786122</v>
      </c>
      <c r="V486" s="1119">
        <f t="shared" si="87"/>
        <v>-296.46925773814843</v>
      </c>
      <c r="W486" s="1119">
        <f t="shared" si="87"/>
        <v>23.392442910364515</v>
      </c>
      <c r="X486" s="978"/>
      <c r="Y486" s="1120">
        <f t="shared" si="82"/>
        <v>17809.529831627045</v>
      </c>
      <c r="Z486" s="1354"/>
      <c r="AA486" s="1001">
        <v>4.2289292095608468</v>
      </c>
      <c r="AB486" s="978"/>
      <c r="AC486" s="1036">
        <f t="shared" si="83"/>
        <v>4.2289292095608468</v>
      </c>
      <c r="AD486" s="783">
        <f t="shared" si="84"/>
        <v>4.2290000000000001</v>
      </c>
      <c r="AE486" s="1321"/>
      <c r="AF486" s="1322"/>
      <c r="AG486" s="740"/>
    </row>
    <row r="487" spans="1:33">
      <c r="A487" s="96">
        <v>301343</v>
      </c>
      <c r="B487" s="1286" t="s">
        <v>244</v>
      </c>
      <c r="C487" s="782">
        <f>'TAR_Tab 2_Volumina'!N490</f>
        <v>0</v>
      </c>
      <c r="D487" s="976"/>
      <c r="E487" s="1318">
        <v>0</v>
      </c>
      <c r="F487" s="1116">
        <f t="shared" si="78"/>
        <v>0</v>
      </c>
      <c r="G487" s="1116">
        <f t="shared" si="79"/>
        <v>0</v>
      </c>
      <c r="H487" s="976"/>
      <c r="I487" s="1117">
        <f t="shared" si="86"/>
        <v>0</v>
      </c>
      <c r="J487" s="1117">
        <f t="shared" si="86"/>
        <v>0</v>
      </c>
      <c r="K487" s="1320"/>
      <c r="L487" s="1000" t="str">
        <f t="shared" si="80"/>
        <v/>
      </c>
      <c r="M487" s="1118">
        <f t="shared" si="81"/>
        <v>0</v>
      </c>
      <c r="N487" s="976"/>
      <c r="O487" s="1119">
        <f t="shared" ref="O487:W550" si="88">$M487*O$5</f>
        <v>0</v>
      </c>
      <c r="P487" s="1119">
        <f t="shared" si="87"/>
        <v>0</v>
      </c>
      <c r="Q487" s="1119">
        <f t="shared" si="87"/>
        <v>0</v>
      </c>
      <c r="R487" s="1119">
        <f t="shared" si="87"/>
        <v>0</v>
      </c>
      <c r="S487" s="1119">
        <f t="shared" si="87"/>
        <v>0</v>
      </c>
      <c r="T487" s="1119">
        <f t="shared" si="87"/>
        <v>0</v>
      </c>
      <c r="U487" s="1119">
        <f t="shared" si="87"/>
        <v>0</v>
      </c>
      <c r="V487" s="1119">
        <f t="shared" si="87"/>
        <v>0</v>
      </c>
      <c r="W487" s="1119">
        <f t="shared" si="87"/>
        <v>0</v>
      </c>
      <c r="X487" s="978"/>
      <c r="Y487" s="1120">
        <f t="shared" si="82"/>
        <v>0</v>
      </c>
      <c r="Z487" s="1354"/>
      <c r="AA487" s="1001">
        <v>0</v>
      </c>
      <c r="AB487" s="978"/>
      <c r="AC487" s="1036">
        <f t="shared" si="83"/>
        <v>0</v>
      </c>
      <c r="AD487" s="783">
        <f t="shared" si="84"/>
        <v>0</v>
      </c>
      <c r="AE487" s="1321"/>
      <c r="AF487" s="1322"/>
      <c r="AG487" s="740"/>
    </row>
    <row r="488" spans="1:33">
      <c r="A488" s="96">
        <v>301344</v>
      </c>
      <c r="B488" s="1286" t="s">
        <v>192</v>
      </c>
      <c r="C488" s="782">
        <f>'TAR_Tab 2_Volumina'!N491</f>
        <v>0</v>
      </c>
      <c r="D488" s="976"/>
      <c r="E488" s="1318">
        <v>0</v>
      </c>
      <c r="F488" s="1116">
        <f t="shared" si="78"/>
        <v>0</v>
      </c>
      <c r="G488" s="1116">
        <f t="shared" si="79"/>
        <v>0</v>
      </c>
      <c r="H488" s="976"/>
      <c r="I488" s="1117">
        <f t="shared" si="86"/>
        <v>0</v>
      </c>
      <c r="J488" s="1117">
        <f t="shared" si="86"/>
        <v>0</v>
      </c>
      <c r="K488" s="1320"/>
      <c r="L488" s="1000" t="str">
        <f t="shared" si="80"/>
        <v/>
      </c>
      <c r="M488" s="1118">
        <f t="shared" si="81"/>
        <v>0</v>
      </c>
      <c r="N488" s="976"/>
      <c r="O488" s="1119">
        <f t="shared" si="88"/>
        <v>0</v>
      </c>
      <c r="P488" s="1119">
        <f t="shared" si="87"/>
        <v>0</v>
      </c>
      <c r="Q488" s="1119">
        <f t="shared" si="87"/>
        <v>0</v>
      </c>
      <c r="R488" s="1119">
        <f t="shared" si="87"/>
        <v>0</v>
      </c>
      <c r="S488" s="1119">
        <f t="shared" si="87"/>
        <v>0</v>
      </c>
      <c r="T488" s="1119">
        <f t="shared" si="87"/>
        <v>0</v>
      </c>
      <c r="U488" s="1119">
        <f t="shared" si="87"/>
        <v>0</v>
      </c>
      <c r="V488" s="1119">
        <f t="shared" si="87"/>
        <v>0</v>
      </c>
      <c r="W488" s="1119">
        <f t="shared" si="87"/>
        <v>0</v>
      </c>
      <c r="X488" s="978"/>
      <c r="Y488" s="1120">
        <f t="shared" si="82"/>
        <v>0</v>
      </c>
      <c r="Z488" s="1354"/>
      <c r="AA488" s="1001">
        <v>0</v>
      </c>
      <c r="AB488" s="978"/>
      <c r="AC488" s="1036">
        <f t="shared" si="83"/>
        <v>0</v>
      </c>
      <c r="AD488" s="783">
        <f t="shared" si="84"/>
        <v>0</v>
      </c>
      <c r="AE488" s="1321"/>
      <c r="AF488" s="1322"/>
      <c r="AG488" s="740"/>
    </row>
    <row r="489" spans="1:33">
      <c r="A489" s="96">
        <v>301348</v>
      </c>
      <c r="B489" s="1286" t="s">
        <v>19</v>
      </c>
      <c r="C489" s="782">
        <f>'TAR_Tab 2_Volumina'!N492</f>
        <v>0</v>
      </c>
      <c r="D489" s="976"/>
      <c r="E489" s="1318">
        <v>0</v>
      </c>
      <c r="F489" s="1116">
        <f t="shared" si="78"/>
        <v>0</v>
      </c>
      <c r="G489" s="1116">
        <f t="shared" si="79"/>
        <v>0</v>
      </c>
      <c r="H489" s="976"/>
      <c r="I489" s="1117">
        <f t="shared" si="86"/>
        <v>0</v>
      </c>
      <c r="J489" s="1117">
        <f t="shared" si="86"/>
        <v>0</v>
      </c>
      <c r="K489" s="1320"/>
      <c r="L489" s="1000" t="str">
        <f t="shared" si="80"/>
        <v/>
      </c>
      <c r="M489" s="1118">
        <f t="shared" si="81"/>
        <v>0</v>
      </c>
      <c r="N489" s="976"/>
      <c r="O489" s="1119">
        <f t="shared" si="88"/>
        <v>0</v>
      </c>
      <c r="P489" s="1119">
        <f t="shared" si="87"/>
        <v>0</v>
      </c>
      <c r="Q489" s="1119">
        <f t="shared" si="87"/>
        <v>0</v>
      </c>
      <c r="R489" s="1119">
        <f t="shared" si="87"/>
        <v>0</v>
      </c>
      <c r="S489" s="1119">
        <f t="shared" si="87"/>
        <v>0</v>
      </c>
      <c r="T489" s="1119">
        <f t="shared" si="87"/>
        <v>0</v>
      </c>
      <c r="U489" s="1119">
        <f t="shared" si="87"/>
        <v>0</v>
      </c>
      <c r="V489" s="1119">
        <f t="shared" si="87"/>
        <v>0</v>
      </c>
      <c r="W489" s="1119">
        <f t="shared" si="87"/>
        <v>0</v>
      </c>
      <c r="X489" s="978"/>
      <c r="Y489" s="1120">
        <f t="shared" si="82"/>
        <v>0</v>
      </c>
      <c r="Z489" s="1354"/>
      <c r="AA489" s="1001">
        <v>0</v>
      </c>
      <c r="AB489" s="978"/>
      <c r="AC489" s="1036">
        <f t="shared" si="83"/>
        <v>0</v>
      </c>
      <c r="AD489" s="783">
        <f t="shared" si="84"/>
        <v>0</v>
      </c>
      <c r="AE489" s="1321"/>
      <c r="AF489" s="1322"/>
      <c r="AG489" s="740"/>
    </row>
    <row r="490" spans="1:33">
      <c r="A490" s="96">
        <v>301354</v>
      </c>
      <c r="B490" s="1286" t="s">
        <v>22</v>
      </c>
      <c r="C490" s="782">
        <f>'TAR_Tab 2_Volumina'!N493</f>
        <v>0</v>
      </c>
      <c r="D490" s="976"/>
      <c r="E490" s="1318">
        <v>0</v>
      </c>
      <c r="F490" s="1116">
        <f t="shared" si="78"/>
        <v>0</v>
      </c>
      <c r="G490" s="1116">
        <f t="shared" si="79"/>
        <v>0</v>
      </c>
      <c r="H490" s="976"/>
      <c r="I490" s="1117">
        <f t="shared" si="86"/>
        <v>0</v>
      </c>
      <c r="J490" s="1117">
        <f t="shared" si="86"/>
        <v>0</v>
      </c>
      <c r="K490" s="1320"/>
      <c r="L490" s="1000" t="str">
        <f t="shared" si="80"/>
        <v/>
      </c>
      <c r="M490" s="1118">
        <f t="shared" si="81"/>
        <v>0</v>
      </c>
      <c r="N490" s="976"/>
      <c r="O490" s="1119">
        <f t="shared" si="88"/>
        <v>0</v>
      </c>
      <c r="P490" s="1119">
        <f t="shared" si="87"/>
        <v>0</v>
      </c>
      <c r="Q490" s="1119">
        <f t="shared" si="87"/>
        <v>0</v>
      </c>
      <c r="R490" s="1119">
        <f t="shared" si="87"/>
        <v>0</v>
      </c>
      <c r="S490" s="1119">
        <f t="shared" si="87"/>
        <v>0</v>
      </c>
      <c r="T490" s="1119">
        <f t="shared" si="87"/>
        <v>0</v>
      </c>
      <c r="U490" s="1119">
        <f t="shared" si="87"/>
        <v>0</v>
      </c>
      <c r="V490" s="1119">
        <f t="shared" si="87"/>
        <v>0</v>
      </c>
      <c r="W490" s="1119">
        <f t="shared" si="87"/>
        <v>0</v>
      </c>
      <c r="X490" s="978"/>
      <c r="Y490" s="1120">
        <f t="shared" si="82"/>
        <v>0</v>
      </c>
      <c r="Z490" s="1354"/>
      <c r="AA490" s="1001">
        <v>0</v>
      </c>
      <c r="AB490" s="978"/>
      <c r="AC490" s="1036">
        <f t="shared" si="83"/>
        <v>0</v>
      </c>
      <c r="AD490" s="783">
        <f t="shared" si="84"/>
        <v>0</v>
      </c>
      <c r="AE490" s="1321"/>
      <c r="AF490" s="1322"/>
      <c r="AG490" s="740"/>
    </row>
    <row r="491" spans="1:33">
      <c r="A491" s="96">
        <v>301355</v>
      </c>
      <c r="B491" s="1286" t="s">
        <v>20</v>
      </c>
      <c r="C491" s="782">
        <f>'TAR_Tab 2_Volumina'!N494</f>
        <v>0</v>
      </c>
      <c r="D491" s="976"/>
      <c r="E491" s="1318">
        <v>0</v>
      </c>
      <c r="F491" s="1116">
        <f t="shared" si="78"/>
        <v>0</v>
      </c>
      <c r="G491" s="1116">
        <f t="shared" si="79"/>
        <v>0</v>
      </c>
      <c r="H491" s="976"/>
      <c r="I491" s="1117">
        <f t="shared" si="86"/>
        <v>0</v>
      </c>
      <c r="J491" s="1117">
        <f t="shared" si="86"/>
        <v>0</v>
      </c>
      <c r="K491" s="1320"/>
      <c r="L491" s="1000" t="str">
        <f t="shared" si="80"/>
        <v/>
      </c>
      <c r="M491" s="1118">
        <f t="shared" si="81"/>
        <v>0</v>
      </c>
      <c r="N491" s="976"/>
      <c r="O491" s="1119">
        <f t="shared" si="88"/>
        <v>0</v>
      </c>
      <c r="P491" s="1119">
        <f t="shared" si="87"/>
        <v>0</v>
      </c>
      <c r="Q491" s="1119">
        <f t="shared" si="87"/>
        <v>0</v>
      </c>
      <c r="R491" s="1119">
        <f t="shared" si="87"/>
        <v>0</v>
      </c>
      <c r="S491" s="1119">
        <f t="shared" si="87"/>
        <v>0</v>
      </c>
      <c r="T491" s="1119">
        <f t="shared" si="87"/>
        <v>0</v>
      </c>
      <c r="U491" s="1119">
        <f t="shared" si="87"/>
        <v>0</v>
      </c>
      <c r="V491" s="1119">
        <f t="shared" si="87"/>
        <v>0</v>
      </c>
      <c r="W491" s="1119">
        <f t="shared" si="87"/>
        <v>0</v>
      </c>
      <c r="X491" s="978"/>
      <c r="Y491" s="1120">
        <f t="shared" si="82"/>
        <v>0</v>
      </c>
      <c r="Z491" s="1354"/>
      <c r="AA491" s="1001">
        <v>0</v>
      </c>
      <c r="AB491" s="978"/>
      <c r="AC491" s="1036">
        <f t="shared" si="83"/>
        <v>0</v>
      </c>
      <c r="AD491" s="783">
        <f t="shared" si="84"/>
        <v>0</v>
      </c>
      <c r="AE491" s="1321"/>
      <c r="AF491" s="1322"/>
      <c r="AG491" s="740"/>
    </row>
    <row r="492" spans="1:33">
      <c r="A492" s="96">
        <v>301356</v>
      </c>
      <c r="B492" s="1286" t="s">
        <v>831</v>
      </c>
      <c r="C492" s="782">
        <f>'TAR_Tab 2_Volumina'!N495</f>
        <v>0</v>
      </c>
      <c r="D492" s="976"/>
      <c r="E492" s="1318">
        <v>0</v>
      </c>
      <c r="F492" s="1116">
        <f t="shared" si="78"/>
        <v>0</v>
      </c>
      <c r="G492" s="1116">
        <f t="shared" si="79"/>
        <v>0</v>
      </c>
      <c r="H492" s="976"/>
      <c r="I492" s="1117">
        <f t="shared" si="86"/>
        <v>0</v>
      </c>
      <c r="J492" s="1117">
        <f t="shared" si="86"/>
        <v>0</v>
      </c>
      <c r="K492" s="1320"/>
      <c r="L492" s="1000" t="str">
        <f t="shared" si="80"/>
        <v/>
      </c>
      <c r="M492" s="1118">
        <f t="shared" si="81"/>
        <v>0</v>
      </c>
      <c r="N492" s="976"/>
      <c r="O492" s="1119">
        <f t="shared" si="88"/>
        <v>0</v>
      </c>
      <c r="P492" s="1119">
        <f t="shared" si="87"/>
        <v>0</v>
      </c>
      <c r="Q492" s="1119">
        <f t="shared" si="87"/>
        <v>0</v>
      </c>
      <c r="R492" s="1119">
        <f t="shared" si="87"/>
        <v>0</v>
      </c>
      <c r="S492" s="1119">
        <f t="shared" si="87"/>
        <v>0</v>
      </c>
      <c r="T492" s="1119">
        <f t="shared" si="87"/>
        <v>0</v>
      </c>
      <c r="U492" s="1119">
        <f t="shared" si="87"/>
        <v>0</v>
      </c>
      <c r="V492" s="1119">
        <f t="shared" si="87"/>
        <v>0</v>
      </c>
      <c r="W492" s="1119">
        <f t="shared" si="87"/>
        <v>0</v>
      </c>
      <c r="X492" s="978"/>
      <c r="Y492" s="1120">
        <f t="shared" si="82"/>
        <v>0</v>
      </c>
      <c r="Z492" s="1354"/>
      <c r="AA492" s="1001">
        <v>0</v>
      </c>
      <c r="AB492" s="978"/>
      <c r="AC492" s="1036">
        <f t="shared" si="83"/>
        <v>0</v>
      </c>
      <c r="AD492" s="783">
        <f t="shared" si="84"/>
        <v>0</v>
      </c>
      <c r="AE492" s="1321"/>
      <c r="AF492" s="1322"/>
      <c r="AG492" s="740"/>
    </row>
    <row r="493" spans="1:33">
      <c r="A493" s="96">
        <v>301360</v>
      </c>
      <c r="B493" s="1286" t="s">
        <v>189</v>
      </c>
      <c r="C493" s="782">
        <f>'TAR_Tab 2_Volumina'!N496</f>
        <v>0</v>
      </c>
      <c r="D493" s="976"/>
      <c r="E493" s="1318">
        <v>0</v>
      </c>
      <c r="F493" s="1116">
        <f t="shared" si="78"/>
        <v>0</v>
      </c>
      <c r="G493" s="1116">
        <f t="shared" si="79"/>
        <v>0</v>
      </c>
      <c r="H493" s="976"/>
      <c r="I493" s="1117">
        <f t="shared" ref="I493:J524" si="89">$G493*I$5</f>
        <v>0</v>
      </c>
      <c r="J493" s="1117">
        <f t="shared" si="89"/>
        <v>0</v>
      </c>
      <c r="K493" s="1320"/>
      <c r="L493" s="1000" t="str">
        <f t="shared" si="80"/>
        <v/>
      </c>
      <c r="M493" s="1118">
        <f t="shared" si="81"/>
        <v>0</v>
      </c>
      <c r="N493" s="976"/>
      <c r="O493" s="1119">
        <f t="shared" si="88"/>
        <v>0</v>
      </c>
      <c r="P493" s="1119">
        <f t="shared" si="87"/>
        <v>0</v>
      </c>
      <c r="Q493" s="1119">
        <f t="shared" si="87"/>
        <v>0</v>
      </c>
      <c r="R493" s="1119">
        <f t="shared" si="87"/>
        <v>0</v>
      </c>
      <c r="S493" s="1119">
        <f t="shared" si="87"/>
        <v>0</v>
      </c>
      <c r="T493" s="1119">
        <f t="shared" si="87"/>
        <v>0</v>
      </c>
      <c r="U493" s="1119">
        <f t="shared" si="87"/>
        <v>0</v>
      </c>
      <c r="V493" s="1119">
        <f t="shared" si="87"/>
        <v>0</v>
      </c>
      <c r="W493" s="1119">
        <f t="shared" si="87"/>
        <v>0</v>
      </c>
      <c r="X493" s="978"/>
      <c r="Y493" s="1120">
        <f t="shared" si="82"/>
        <v>0</v>
      </c>
      <c r="Z493" s="1354"/>
      <c r="AA493" s="1001">
        <v>0</v>
      </c>
      <c r="AB493" s="978"/>
      <c r="AC493" s="1036">
        <f t="shared" si="83"/>
        <v>0</v>
      </c>
      <c r="AD493" s="783">
        <f t="shared" si="84"/>
        <v>0</v>
      </c>
      <c r="AE493" s="1321"/>
      <c r="AF493" s="1322"/>
      <c r="AG493" s="740"/>
    </row>
    <row r="494" spans="1:33">
      <c r="A494" s="96">
        <v>301361</v>
      </c>
      <c r="B494" s="1286" t="s">
        <v>49</v>
      </c>
      <c r="C494" s="782">
        <f>'TAR_Tab 2_Volumina'!N497</f>
        <v>0</v>
      </c>
      <c r="D494" s="976"/>
      <c r="E494" s="1318">
        <v>0</v>
      </c>
      <c r="F494" s="1116">
        <f t="shared" si="78"/>
        <v>0</v>
      </c>
      <c r="G494" s="1116">
        <f t="shared" si="79"/>
        <v>0</v>
      </c>
      <c r="H494" s="976"/>
      <c r="I494" s="1117">
        <f t="shared" si="89"/>
        <v>0</v>
      </c>
      <c r="J494" s="1117">
        <f t="shared" si="89"/>
        <v>0</v>
      </c>
      <c r="K494" s="1320"/>
      <c r="L494" s="1000" t="str">
        <f t="shared" si="80"/>
        <v/>
      </c>
      <c r="M494" s="1118">
        <f t="shared" si="81"/>
        <v>0</v>
      </c>
      <c r="N494" s="976"/>
      <c r="O494" s="1119">
        <f t="shared" si="88"/>
        <v>0</v>
      </c>
      <c r="P494" s="1119">
        <f t="shared" si="87"/>
        <v>0</v>
      </c>
      <c r="Q494" s="1119">
        <f t="shared" si="87"/>
        <v>0</v>
      </c>
      <c r="R494" s="1119">
        <f t="shared" si="87"/>
        <v>0</v>
      </c>
      <c r="S494" s="1119">
        <f t="shared" si="87"/>
        <v>0</v>
      </c>
      <c r="T494" s="1119">
        <f t="shared" si="87"/>
        <v>0</v>
      </c>
      <c r="U494" s="1119">
        <f t="shared" si="87"/>
        <v>0</v>
      </c>
      <c r="V494" s="1119">
        <f t="shared" si="87"/>
        <v>0</v>
      </c>
      <c r="W494" s="1119">
        <f t="shared" si="87"/>
        <v>0</v>
      </c>
      <c r="X494" s="978"/>
      <c r="Y494" s="1120">
        <f t="shared" si="82"/>
        <v>0</v>
      </c>
      <c r="Z494" s="1354"/>
      <c r="AA494" s="1001">
        <v>0</v>
      </c>
      <c r="AB494" s="978"/>
      <c r="AC494" s="1036">
        <f t="shared" si="83"/>
        <v>0</v>
      </c>
      <c r="AD494" s="783">
        <f t="shared" si="84"/>
        <v>0</v>
      </c>
      <c r="AE494" s="1321"/>
      <c r="AF494" s="1322"/>
      <c r="AG494" s="740"/>
    </row>
    <row r="495" spans="1:33">
      <c r="A495" s="96">
        <v>301364</v>
      </c>
      <c r="B495" s="1286" t="s">
        <v>21</v>
      </c>
      <c r="C495" s="782">
        <f>'TAR_Tab 2_Volumina'!N498</f>
        <v>0</v>
      </c>
      <c r="D495" s="976"/>
      <c r="E495" s="1318">
        <v>0</v>
      </c>
      <c r="F495" s="1116">
        <f t="shared" si="78"/>
        <v>0</v>
      </c>
      <c r="G495" s="1116">
        <f t="shared" si="79"/>
        <v>0</v>
      </c>
      <c r="H495" s="976"/>
      <c r="I495" s="1117">
        <f t="shared" si="89"/>
        <v>0</v>
      </c>
      <c r="J495" s="1117">
        <f t="shared" si="89"/>
        <v>0</v>
      </c>
      <c r="K495" s="1320"/>
      <c r="L495" s="1000" t="str">
        <f t="shared" si="80"/>
        <v/>
      </c>
      <c r="M495" s="1118">
        <f t="shared" si="81"/>
        <v>0</v>
      </c>
      <c r="N495" s="976"/>
      <c r="O495" s="1119">
        <f t="shared" si="88"/>
        <v>0</v>
      </c>
      <c r="P495" s="1119">
        <f t="shared" si="87"/>
        <v>0</v>
      </c>
      <c r="Q495" s="1119">
        <f t="shared" si="87"/>
        <v>0</v>
      </c>
      <c r="R495" s="1119">
        <f t="shared" si="87"/>
        <v>0</v>
      </c>
      <c r="S495" s="1119">
        <f t="shared" si="87"/>
        <v>0</v>
      </c>
      <c r="T495" s="1119">
        <f t="shared" si="87"/>
        <v>0</v>
      </c>
      <c r="U495" s="1119">
        <f t="shared" si="87"/>
        <v>0</v>
      </c>
      <c r="V495" s="1119">
        <f t="shared" si="87"/>
        <v>0</v>
      </c>
      <c r="W495" s="1119">
        <f t="shared" si="87"/>
        <v>0</v>
      </c>
      <c r="X495" s="978"/>
      <c r="Y495" s="1120">
        <f t="shared" si="82"/>
        <v>0</v>
      </c>
      <c r="Z495" s="1354"/>
      <c r="AA495" s="1001">
        <v>0</v>
      </c>
      <c r="AB495" s="978"/>
      <c r="AC495" s="1036">
        <f t="shared" si="83"/>
        <v>0</v>
      </c>
      <c r="AD495" s="783">
        <f t="shared" si="84"/>
        <v>0</v>
      </c>
      <c r="AE495" s="1321"/>
      <c r="AF495" s="1322"/>
      <c r="AG495" s="740"/>
    </row>
    <row r="496" spans="1:33">
      <c r="A496" s="96">
        <v>301365</v>
      </c>
      <c r="B496" s="1286" t="s">
        <v>256</v>
      </c>
      <c r="C496" s="782">
        <f>'TAR_Tab 2_Volumina'!N499</f>
        <v>0</v>
      </c>
      <c r="D496" s="976"/>
      <c r="E496" s="1318">
        <v>0</v>
      </c>
      <c r="F496" s="1116">
        <f t="shared" si="78"/>
        <v>0</v>
      </c>
      <c r="G496" s="1116">
        <f t="shared" si="79"/>
        <v>0</v>
      </c>
      <c r="H496" s="976"/>
      <c r="I496" s="1117">
        <f t="shared" si="89"/>
        <v>0</v>
      </c>
      <c r="J496" s="1117">
        <f t="shared" si="89"/>
        <v>0</v>
      </c>
      <c r="K496" s="1320"/>
      <c r="L496" s="1000" t="str">
        <f t="shared" si="80"/>
        <v/>
      </c>
      <c r="M496" s="1118">
        <f t="shared" si="81"/>
        <v>0</v>
      </c>
      <c r="N496" s="976"/>
      <c r="O496" s="1119">
        <f t="shared" si="88"/>
        <v>0</v>
      </c>
      <c r="P496" s="1119">
        <f t="shared" si="87"/>
        <v>0</v>
      </c>
      <c r="Q496" s="1119">
        <f t="shared" si="87"/>
        <v>0</v>
      </c>
      <c r="R496" s="1119">
        <f t="shared" si="87"/>
        <v>0</v>
      </c>
      <c r="S496" s="1119">
        <f t="shared" si="87"/>
        <v>0</v>
      </c>
      <c r="T496" s="1119">
        <f t="shared" si="87"/>
        <v>0</v>
      </c>
      <c r="U496" s="1119">
        <f t="shared" si="87"/>
        <v>0</v>
      </c>
      <c r="V496" s="1119">
        <f t="shared" si="87"/>
        <v>0</v>
      </c>
      <c r="W496" s="1119">
        <f t="shared" si="87"/>
        <v>0</v>
      </c>
      <c r="X496" s="978"/>
      <c r="Y496" s="1120">
        <f t="shared" si="82"/>
        <v>0</v>
      </c>
      <c r="Z496" s="1354"/>
      <c r="AA496" s="1001">
        <v>0</v>
      </c>
      <c r="AB496" s="978"/>
      <c r="AC496" s="1036">
        <f t="shared" si="83"/>
        <v>0</v>
      </c>
      <c r="AD496" s="783">
        <f t="shared" si="84"/>
        <v>0</v>
      </c>
      <c r="AE496" s="1321"/>
      <c r="AF496" s="1322"/>
      <c r="AG496" s="740"/>
    </row>
    <row r="497" spans="1:33">
      <c r="A497" s="96">
        <v>301366</v>
      </c>
      <c r="B497" s="1286" t="s">
        <v>257</v>
      </c>
      <c r="C497" s="782">
        <f>'TAR_Tab 2_Volumina'!N500</f>
        <v>0</v>
      </c>
      <c r="D497" s="976"/>
      <c r="E497" s="1318">
        <v>0</v>
      </c>
      <c r="F497" s="1116">
        <f t="shared" si="78"/>
        <v>0</v>
      </c>
      <c r="G497" s="1116">
        <f t="shared" si="79"/>
        <v>0</v>
      </c>
      <c r="H497" s="976"/>
      <c r="I497" s="1117">
        <f t="shared" si="89"/>
        <v>0</v>
      </c>
      <c r="J497" s="1117">
        <f t="shared" si="89"/>
        <v>0</v>
      </c>
      <c r="K497" s="1320"/>
      <c r="L497" s="1000" t="str">
        <f t="shared" si="80"/>
        <v/>
      </c>
      <c r="M497" s="1118">
        <f t="shared" si="81"/>
        <v>0</v>
      </c>
      <c r="N497" s="976"/>
      <c r="O497" s="1119">
        <f t="shared" si="88"/>
        <v>0</v>
      </c>
      <c r="P497" s="1119">
        <f t="shared" si="87"/>
        <v>0</v>
      </c>
      <c r="Q497" s="1119">
        <f t="shared" si="87"/>
        <v>0</v>
      </c>
      <c r="R497" s="1119">
        <f t="shared" si="87"/>
        <v>0</v>
      </c>
      <c r="S497" s="1119">
        <f t="shared" si="87"/>
        <v>0</v>
      </c>
      <c r="T497" s="1119">
        <f t="shared" si="87"/>
        <v>0</v>
      </c>
      <c r="U497" s="1119">
        <f t="shared" si="87"/>
        <v>0</v>
      </c>
      <c r="V497" s="1119">
        <f t="shared" si="87"/>
        <v>0</v>
      </c>
      <c r="W497" s="1119">
        <f t="shared" si="87"/>
        <v>0</v>
      </c>
      <c r="X497" s="978"/>
      <c r="Y497" s="1120">
        <f t="shared" si="82"/>
        <v>0</v>
      </c>
      <c r="Z497" s="1354"/>
      <c r="AA497" s="1001">
        <v>0</v>
      </c>
      <c r="AB497" s="978"/>
      <c r="AC497" s="1036">
        <f t="shared" si="83"/>
        <v>0</v>
      </c>
      <c r="AD497" s="783">
        <f t="shared" si="84"/>
        <v>0</v>
      </c>
      <c r="AE497" s="1321"/>
      <c r="AF497" s="1322"/>
      <c r="AG497" s="740"/>
    </row>
    <row r="498" spans="1:33">
      <c r="A498" s="96">
        <v>301368</v>
      </c>
      <c r="B498" s="1286" t="s">
        <v>832</v>
      </c>
      <c r="C498" s="782">
        <f>'TAR_Tab 2_Volumina'!N501</f>
        <v>0</v>
      </c>
      <c r="D498" s="976"/>
      <c r="E498" s="1318">
        <v>0</v>
      </c>
      <c r="F498" s="1116">
        <f t="shared" si="78"/>
        <v>0</v>
      </c>
      <c r="G498" s="1116">
        <f t="shared" si="79"/>
        <v>0</v>
      </c>
      <c r="H498" s="976"/>
      <c r="I498" s="1117">
        <f t="shared" si="89"/>
        <v>0</v>
      </c>
      <c r="J498" s="1117">
        <f t="shared" si="89"/>
        <v>0</v>
      </c>
      <c r="K498" s="1320"/>
      <c r="L498" s="1000" t="str">
        <f t="shared" si="80"/>
        <v/>
      </c>
      <c r="M498" s="1118">
        <f t="shared" si="81"/>
        <v>0</v>
      </c>
      <c r="N498" s="976"/>
      <c r="O498" s="1119">
        <f t="shared" si="88"/>
        <v>0</v>
      </c>
      <c r="P498" s="1119">
        <f t="shared" si="87"/>
        <v>0</v>
      </c>
      <c r="Q498" s="1119">
        <f t="shared" si="87"/>
        <v>0</v>
      </c>
      <c r="R498" s="1119">
        <f t="shared" si="87"/>
        <v>0</v>
      </c>
      <c r="S498" s="1119">
        <f t="shared" si="87"/>
        <v>0</v>
      </c>
      <c r="T498" s="1119">
        <f t="shared" si="87"/>
        <v>0</v>
      </c>
      <c r="U498" s="1119">
        <f t="shared" si="87"/>
        <v>0</v>
      </c>
      <c r="V498" s="1119">
        <f t="shared" si="87"/>
        <v>0</v>
      </c>
      <c r="W498" s="1119">
        <f t="shared" si="87"/>
        <v>0</v>
      </c>
      <c r="X498" s="978"/>
      <c r="Y498" s="1120">
        <f t="shared" si="82"/>
        <v>0</v>
      </c>
      <c r="Z498" s="1354"/>
      <c r="AA498" s="1001">
        <v>0</v>
      </c>
      <c r="AB498" s="978"/>
      <c r="AC498" s="1036">
        <f t="shared" si="83"/>
        <v>0</v>
      </c>
      <c r="AD498" s="783">
        <f t="shared" si="84"/>
        <v>0</v>
      </c>
      <c r="AE498" s="1321"/>
      <c r="AF498" s="1322"/>
      <c r="AG498" s="740"/>
    </row>
    <row r="499" spans="1:33">
      <c r="A499" s="96">
        <v>301369</v>
      </c>
      <c r="B499" s="1286" t="s">
        <v>23</v>
      </c>
      <c r="C499" s="782">
        <f>'TAR_Tab 2_Volumina'!N502</f>
        <v>0</v>
      </c>
      <c r="D499" s="976"/>
      <c r="E499" s="1318">
        <v>0</v>
      </c>
      <c r="F499" s="1116">
        <f t="shared" si="78"/>
        <v>0</v>
      </c>
      <c r="G499" s="1116">
        <f t="shared" si="79"/>
        <v>0</v>
      </c>
      <c r="H499" s="976"/>
      <c r="I499" s="1117">
        <f t="shared" si="89"/>
        <v>0</v>
      </c>
      <c r="J499" s="1117">
        <f t="shared" si="89"/>
        <v>0</v>
      </c>
      <c r="K499" s="1320"/>
      <c r="L499" s="1000" t="str">
        <f t="shared" si="80"/>
        <v/>
      </c>
      <c r="M499" s="1118">
        <f t="shared" si="81"/>
        <v>0</v>
      </c>
      <c r="N499" s="976"/>
      <c r="O499" s="1119">
        <f t="shared" si="88"/>
        <v>0</v>
      </c>
      <c r="P499" s="1119">
        <f t="shared" si="87"/>
        <v>0</v>
      </c>
      <c r="Q499" s="1119">
        <f t="shared" si="87"/>
        <v>0</v>
      </c>
      <c r="R499" s="1119">
        <f t="shared" si="87"/>
        <v>0</v>
      </c>
      <c r="S499" s="1119">
        <f t="shared" si="87"/>
        <v>0</v>
      </c>
      <c r="T499" s="1119">
        <f t="shared" si="87"/>
        <v>0</v>
      </c>
      <c r="U499" s="1119">
        <f t="shared" si="87"/>
        <v>0</v>
      </c>
      <c r="V499" s="1119">
        <f t="shared" si="87"/>
        <v>0</v>
      </c>
      <c r="W499" s="1119">
        <f t="shared" si="87"/>
        <v>0</v>
      </c>
      <c r="X499" s="978"/>
      <c r="Y499" s="1120">
        <f t="shared" si="82"/>
        <v>0</v>
      </c>
      <c r="Z499" s="1354"/>
      <c r="AA499" s="1001">
        <v>0</v>
      </c>
      <c r="AB499" s="978"/>
      <c r="AC499" s="1036">
        <f t="shared" si="83"/>
        <v>0</v>
      </c>
      <c r="AD499" s="783">
        <f t="shared" si="84"/>
        <v>0</v>
      </c>
      <c r="AE499" s="1321"/>
      <c r="AF499" s="1322"/>
      <c r="AG499" s="740"/>
    </row>
    <row r="500" spans="1:33">
      <c r="A500" s="96">
        <v>301374</v>
      </c>
      <c r="B500" s="1286" t="s">
        <v>833</v>
      </c>
      <c r="C500" s="782">
        <f>'TAR_Tab 2_Volumina'!N503</f>
        <v>0</v>
      </c>
      <c r="D500" s="976"/>
      <c r="E500" s="1318">
        <v>0</v>
      </c>
      <c r="F500" s="1116">
        <f t="shared" si="78"/>
        <v>0</v>
      </c>
      <c r="G500" s="1116">
        <f t="shared" si="79"/>
        <v>0</v>
      </c>
      <c r="H500" s="976"/>
      <c r="I500" s="1117">
        <f t="shared" si="89"/>
        <v>0</v>
      </c>
      <c r="J500" s="1117">
        <f t="shared" si="89"/>
        <v>0</v>
      </c>
      <c r="K500" s="1320"/>
      <c r="L500" s="1000" t="str">
        <f t="shared" si="80"/>
        <v/>
      </c>
      <c r="M500" s="1118">
        <f t="shared" si="81"/>
        <v>0</v>
      </c>
      <c r="N500" s="976"/>
      <c r="O500" s="1119">
        <f t="shared" si="88"/>
        <v>0</v>
      </c>
      <c r="P500" s="1119">
        <f t="shared" si="87"/>
        <v>0</v>
      </c>
      <c r="Q500" s="1119">
        <f t="shared" si="87"/>
        <v>0</v>
      </c>
      <c r="R500" s="1119">
        <f t="shared" si="87"/>
        <v>0</v>
      </c>
      <c r="S500" s="1119">
        <f t="shared" si="87"/>
        <v>0</v>
      </c>
      <c r="T500" s="1119">
        <f t="shared" si="87"/>
        <v>0</v>
      </c>
      <c r="U500" s="1119">
        <f t="shared" si="87"/>
        <v>0</v>
      </c>
      <c r="V500" s="1119">
        <f t="shared" si="87"/>
        <v>0</v>
      </c>
      <c r="W500" s="1119">
        <f t="shared" si="87"/>
        <v>0</v>
      </c>
      <c r="X500" s="978"/>
      <c r="Y500" s="1120">
        <f t="shared" si="82"/>
        <v>0</v>
      </c>
      <c r="Z500" s="1354"/>
      <c r="AA500" s="1001">
        <v>0</v>
      </c>
      <c r="AB500" s="978"/>
      <c r="AC500" s="1036">
        <f t="shared" si="83"/>
        <v>0</v>
      </c>
      <c r="AD500" s="783">
        <f t="shared" si="84"/>
        <v>0</v>
      </c>
      <c r="AE500" s="1321"/>
      <c r="AF500" s="1322"/>
      <c r="AG500" s="740"/>
    </row>
    <row r="501" spans="1:33">
      <c r="A501" s="96">
        <v>301377</v>
      </c>
      <c r="B501" s="1286" t="s">
        <v>193</v>
      </c>
      <c r="C501" s="782">
        <f>'TAR_Tab 2_Volumina'!N504</f>
        <v>0</v>
      </c>
      <c r="D501" s="976"/>
      <c r="E501" s="1318">
        <v>0</v>
      </c>
      <c r="F501" s="1116">
        <f t="shared" si="78"/>
        <v>0</v>
      </c>
      <c r="G501" s="1116">
        <f t="shared" si="79"/>
        <v>0</v>
      </c>
      <c r="H501" s="976"/>
      <c r="I501" s="1117">
        <f t="shared" si="89"/>
        <v>0</v>
      </c>
      <c r="J501" s="1117">
        <f t="shared" si="89"/>
        <v>0</v>
      </c>
      <c r="K501" s="1320"/>
      <c r="L501" s="1000" t="str">
        <f t="shared" si="80"/>
        <v/>
      </c>
      <c r="M501" s="1118">
        <f t="shared" si="81"/>
        <v>0</v>
      </c>
      <c r="N501" s="976"/>
      <c r="O501" s="1119">
        <f t="shared" si="88"/>
        <v>0</v>
      </c>
      <c r="P501" s="1119">
        <f t="shared" si="87"/>
        <v>0</v>
      </c>
      <c r="Q501" s="1119">
        <f t="shared" si="87"/>
        <v>0</v>
      </c>
      <c r="R501" s="1119">
        <f t="shared" si="87"/>
        <v>0</v>
      </c>
      <c r="S501" s="1119">
        <f t="shared" si="87"/>
        <v>0</v>
      </c>
      <c r="T501" s="1119">
        <f t="shared" si="87"/>
        <v>0</v>
      </c>
      <c r="U501" s="1119">
        <f t="shared" si="87"/>
        <v>0</v>
      </c>
      <c r="V501" s="1119">
        <f t="shared" si="87"/>
        <v>0</v>
      </c>
      <c r="W501" s="1119">
        <f t="shared" si="87"/>
        <v>0</v>
      </c>
      <c r="X501" s="978"/>
      <c r="Y501" s="1120">
        <f t="shared" si="82"/>
        <v>0</v>
      </c>
      <c r="Z501" s="1354"/>
      <c r="AA501" s="1001">
        <v>0</v>
      </c>
      <c r="AB501" s="978"/>
      <c r="AC501" s="1036">
        <f t="shared" si="83"/>
        <v>0</v>
      </c>
      <c r="AD501" s="783">
        <f t="shared" si="84"/>
        <v>0</v>
      </c>
      <c r="AE501" s="1321"/>
      <c r="AF501" s="1322"/>
      <c r="AG501" s="740"/>
    </row>
    <row r="502" spans="1:33">
      <c r="A502" s="96">
        <v>301385</v>
      </c>
      <c r="B502" s="1286" t="s">
        <v>834</v>
      </c>
      <c r="C502" s="782">
        <f>'TAR_Tab 2_Volumina'!N505</f>
        <v>1</v>
      </c>
      <c r="D502" s="976"/>
      <c r="E502" s="1318">
        <v>35722.02781136518</v>
      </c>
      <c r="F502" s="1116">
        <f t="shared" si="78"/>
        <v>33993.081665295103</v>
      </c>
      <c r="G502" s="1116">
        <f t="shared" si="79"/>
        <v>34787.534164485827</v>
      </c>
      <c r="H502" s="976"/>
      <c r="I502" s="1117">
        <f t="shared" si="89"/>
        <v>33048.157456261535</v>
      </c>
      <c r="J502" s="1117">
        <f t="shared" si="89"/>
        <v>36526.910872710119</v>
      </c>
      <c r="K502" s="1320"/>
      <c r="L502" s="1000" t="str">
        <f t="shared" si="80"/>
        <v/>
      </c>
      <c r="M502" s="1118">
        <f t="shared" si="81"/>
        <v>34787.534164485827</v>
      </c>
      <c r="N502" s="976"/>
      <c r="O502" s="1119">
        <f t="shared" si="88"/>
        <v>-1613.3713496037913</v>
      </c>
      <c r="P502" s="1119">
        <f t="shared" si="87"/>
        <v>1669.4094408962371</v>
      </c>
      <c r="Q502" s="1119">
        <f t="shared" si="87"/>
        <v>0</v>
      </c>
      <c r="R502" s="1119">
        <f t="shared" si="87"/>
        <v>62.89083051203594</v>
      </c>
      <c r="S502" s="1119">
        <f t="shared" si="87"/>
        <v>1456.5396964682793</v>
      </c>
      <c r="T502" s="1119">
        <f t="shared" si="87"/>
        <v>-190.61821729297034</v>
      </c>
      <c r="U502" s="1119">
        <f t="shared" si="87"/>
        <v>-7.1712725559572243</v>
      </c>
      <c r="V502" s="1119">
        <f t="shared" si="87"/>
        <v>-592.93851547629686</v>
      </c>
      <c r="W502" s="1119">
        <f t="shared" si="87"/>
        <v>46.784885820729031</v>
      </c>
      <c r="X502" s="978"/>
      <c r="Y502" s="1120">
        <f t="shared" si="82"/>
        <v>35619.059663254091</v>
      </c>
      <c r="Z502" s="1354"/>
      <c r="AA502" s="1001">
        <v>9.8340141216606586E-2</v>
      </c>
      <c r="AB502" s="978"/>
      <c r="AC502" s="1036">
        <f t="shared" si="83"/>
        <v>9.8340141216606586E-2</v>
      </c>
      <c r="AD502" s="783">
        <f t="shared" si="84"/>
        <v>9.8000000000000004E-2</v>
      </c>
      <c r="AE502" s="1321"/>
      <c r="AF502" s="1322"/>
      <c r="AG502" s="740"/>
    </row>
    <row r="503" spans="1:33">
      <c r="A503" s="96">
        <v>301389</v>
      </c>
      <c r="B503" s="1286" t="s">
        <v>835</v>
      </c>
      <c r="C503" s="782">
        <f>'TAR_Tab 2_Volumina'!N506</f>
        <v>0</v>
      </c>
      <c r="D503" s="976"/>
      <c r="E503" s="1318">
        <v>0</v>
      </c>
      <c r="F503" s="1116">
        <f t="shared" si="78"/>
        <v>0</v>
      </c>
      <c r="G503" s="1116">
        <f t="shared" si="79"/>
        <v>0</v>
      </c>
      <c r="H503" s="976"/>
      <c r="I503" s="1117">
        <f t="shared" si="89"/>
        <v>0</v>
      </c>
      <c r="J503" s="1117">
        <f t="shared" si="89"/>
        <v>0</v>
      </c>
      <c r="K503" s="1320"/>
      <c r="L503" s="1000" t="str">
        <f t="shared" si="80"/>
        <v/>
      </c>
      <c r="M503" s="1118">
        <f t="shared" si="81"/>
        <v>0</v>
      </c>
      <c r="N503" s="976"/>
      <c r="O503" s="1119">
        <f t="shared" si="88"/>
        <v>0</v>
      </c>
      <c r="P503" s="1119">
        <f t="shared" si="87"/>
        <v>0</v>
      </c>
      <c r="Q503" s="1119">
        <f t="shared" si="87"/>
        <v>0</v>
      </c>
      <c r="R503" s="1119">
        <f t="shared" si="87"/>
        <v>0</v>
      </c>
      <c r="S503" s="1119">
        <f t="shared" si="87"/>
        <v>0</v>
      </c>
      <c r="T503" s="1119">
        <f t="shared" si="87"/>
        <v>0</v>
      </c>
      <c r="U503" s="1119">
        <f t="shared" si="87"/>
        <v>0</v>
      </c>
      <c r="V503" s="1119">
        <f t="shared" si="87"/>
        <v>0</v>
      </c>
      <c r="W503" s="1119">
        <f t="shared" si="87"/>
        <v>0</v>
      </c>
      <c r="X503" s="978"/>
      <c r="Y503" s="1120">
        <f t="shared" si="82"/>
        <v>0</v>
      </c>
      <c r="Z503" s="1354"/>
      <c r="AA503" s="1001">
        <v>0</v>
      </c>
      <c r="AB503" s="978"/>
      <c r="AC503" s="1036">
        <f t="shared" si="83"/>
        <v>0</v>
      </c>
      <c r="AD503" s="783">
        <f t="shared" si="84"/>
        <v>0</v>
      </c>
      <c r="AE503" s="1321"/>
      <c r="AF503" s="1322"/>
      <c r="AG503" s="740"/>
    </row>
    <row r="504" spans="1:33">
      <c r="A504" s="96">
        <v>301390</v>
      </c>
      <c r="B504" s="1286" t="s">
        <v>836</v>
      </c>
      <c r="C504" s="782">
        <f>'TAR_Tab 2_Volumina'!N507</f>
        <v>0</v>
      </c>
      <c r="D504" s="976"/>
      <c r="E504" s="1318">
        <v>0</v>
      </c>
      <c r="F504" s="1116">
        <f t="shared" si="78"/>
        <v>0</v>
      </c>
      <c r="G504" s="1116">
        <f t="shared" si="79"/>
        <v>0</v>
      </c>
      <c r="H504" s="976"/>
      <c r="I504" s="1117">
        <f t="shared" si="89"/>
        <v>0</v>
      </c>
      <c r="J504" s="1117">
        <f t="shared" si="89"/>
        <v>0</v>
      </c>
      <c r="K504" s="1320"/>
      <c r="L504" s="1000" t="str">
        <f t="shared" si="80"/>
        <v/>
      </c>
      <c r="M504" s="1118">
        <f t="shared" si="81"/>
        <v>0</v>
      </c>
      <c r="N504" s="976"/>
      <c r="O504" s="1119">
        <f t="shared" si="88"/>
        <v>0</v>
      </c>
      <c r="P504" s="1119">
        <f t="shared" si="87"/>
        <v>0</v>
      </c>
      <c r="Q504" s="1119">
        <f t="shared" si="87"/>
        <v>0</v>
      </c>
      <c r="R504" s="1119">
        <f t="shared" si="87"/>
        <v>0</v>
      </c>
      <c r="S504" s="1119">
        <f t="shared" si="87"/>
        <v>0</v>
      </c>
      <c r="T504" s="1119">
        <f t="shared" si="87"/>
        <v>0</v>
      </c>
      <c r="U504" s="1119">
        <f t="shared" si="87"/>
        <v>0</v>
      </c>
      <c r="V504" s="1119">
        <f t="shared" si="87"/>
        <v>0</v>
      </c>
      <c r="W504" s="1119">
        <f t="shared" si="87"/>
        <v>0</v>
      </c>
      <c r="X504" s="978"/>
      <c r="Y504" s="1120">
        <f t="shared" si="82"/>
        <v>0</v>
      </c>
      <c r="Z504" s="1354"/>
      <c r="AA504" s="1001">
        <v>0</v>
      </c>
      <c r="AB504" s="978"/>
      <c r="AC504" s="1036">
        <f t="shared" si="83"/>
        <v>0</v>
      </c>
      <c r="AD504" s="783">
        <f t="shared" si="84"/>
        <v>0</v>
      </c>
      <c r="AE504" s="1321"/>
      <c r="AF504" s="1322"/>
      <c r="AG504" s="740"/>
    </row>
    <row r="505" spans="1:33">
      <c r="A505" s="96">
        <v>301391</v>
      </c>
      <c r="B505" s="1286" t="s">
        <v>658</v>
      </c>
      <c r="C505" s="782">
        <f>'TAR_Tab 2_Volumina'!N508</f>
        <v>0</v>
      </c>
      <c r="D505" s="976"/>
      <c r="E505" s="1318">
        <v>0</v>
      </c>
      <c r="F505" s="1116">
        <f t="shared" si="78"/>
        <v>0</v>
      </c>
      <c r="G505" s="1116">
        <f t="shared" si="79"/>
        <v>0</v>
      </c>
      <c r="H505" s="976"/>
      <c r="I505" s="1117">
        <f t="shared" si="89"/>
        <v>0</v>
      </c>
      <c r="J505" s="1117">
        <f t="shared" si="89"/>
        <v>0</v>
      </c>
      <c r="K505" s="1320"/>
      <c r="L505" s="1000" t="str">
        <f t="shared" si="80"/>
        <v/>
      </c>
      <c r="M505" s="1118">
        <f t="shared" si="81"/>
        <v>0</v>
      </c>
      <c r="N505" s="976"/>
      <c r="O505" s="1119">
        <f t="shared" si="88"/>
        <v>0</v>
      </c>
      <c r="P505" s="1119">
        <f t="shared" si="87"/>
        <v>0</v>
      </c>
      <c r="Q505" s="1119">
        <f t="shared" si="87"/>
        <v>0</v>
      </c>
      <c r="R505" s="1119">
        <f t="shared" si="87"/>
        <v>0</v>
      </c>
      <c r="S505" s="1119">
        <f t="shared" si="87"/>
        <v>0</v>
      </c>
      <c r="T505" s="1119">
        <f t="shared" si="87"/>
        <v>0</v>
      </c>
      <c r="U505" s="1119">
        <f t="shared" si="87"/>
        <v>0</v>
      </c>
      <c r="V505" s="1119">
        <f t="shared" si="87"/>
        <v>0</v>
      </c>
      <c r="W505" s="1119">
        <f t="shared" si="87"/>
        <v>0</v>
      </c>
      <c r="X505" s="978"/>
      <c r="Y505" s="1120">
        <f t="shared" si="82"/>
        <v>0</v>
      </c>
      <c r="Z505" s="1354"/>
      <c r="AA505" s="1001">
        <v>0</v>
      </c>
      <c r="AB505" s="978"/>
      <c r="AC505" s="1036">
        <f t="shared" si="83"/>
        <v>0</v>
      </c>
      <c r="AD505" s="783">
        <f t="shared" si="84"/>
        <v>0</v>
      </c>
      <c r="AE505" s="1321"/>
      <c r="AF505" s="1322"/>
      <c r="AG505" s="740"/>
    </row>
    <row r="506" spans="1:33">
      <c r="A506" s="96">
        <v>301395</v>
      </c>
      <c r="B506" s="1286" t="s">
        <v>2</v>
      </c>
      <c r="C506" s="782">
        <f>'TAR_Tab 2_Volumina'!N509</f>
        <v>0</v>
      </c>
      <c r="D506" s="976"/>
      <c r="E506" s="1318">
        <v>0</v>
      </c>
      <c r="F506" s="1116">
        <f t="shared" si="78"/>
        <v>0</v>
      </c>
      <c r="G506" s="1116">
        <f t="shared" si="79"/>
        <v>0</v>
      </c>
      <c r="H506" s="976"/>
      <c r="I506" s="1117">
        <f t="shared" si="89"/>
        <v>0</v>
      </c>
      <c r="J506" s="1117">
        <f t="shared" si="89"/>
        <v>0</v>
      </c>
      <c r="K506" s="1320"/>
      <c r="L506" s="1000" t="str">
        <f t="shared" si="80"/>
        <v/>
      </c>
      <c r="M506" s="1118">
        <f t="shared" si="81"/>
        <v>0</v>
      </c>
      <c r="N506" s="976"/>
      <c r="O506" s="1119">
        <f t="shared" si="88"/>
        <v>0</v>
      </c>
      <c r="P506" s="1119">
        <f t="shared" si="87"/>
        <v>0</v>
      </c>
      <c r="Q506" s="1119">
        <f t="shared" si="87"/>
        <v>0</v>
      </c>
      <c r="R506" s="1119">
        <f t="shared" si="87"/>
        <v>0</v>
      </c>
      <c r="S506" s="1119">
        <f t="shared" si="87"/>
        <v>0</v>
      </c>
      <c r="T506" s="1119">
        <f t="shared" si="87"/>
        <v>0</v>
      </c>
      <c r="U506" s="1119">
        <f t="shared" si="87"/>
        <v>0</v>
      </c>
      <c r="V506" s="1119">
        <f t="shared" si="87"/>
        <v>0</v>
      </c>
      <c r="W506" s="1119">
        <f t="shared" si="87"/>
        <v>0</v>
      </c>
      <c r="X506" s="978"/>
      <c r="Y506" s="1120">
        <f t="shared" si="82"/>
        <v>0</v>
      </c>
      <c r="Z506" s="1354"/>
      <c r="AA506" s="1001">
        <v>0</v>
      </c>
      <c r="AB506" s="978"/>
      <c r="AC506" s="1036">
        <f t="shared" si="83"/>
        <v>0</v>
      </c>
      <c r="AD506" s="783">
        <f t="shared" si="84"/>
        <v>0</v>
      </c>
      <c r="AE506" s="1321"/>
      <c r="AF506" s="1322"/>
      <c r="AG506" s="740"/>
    </row>
    <row r="507" spans="1:33">
      <c r="A507" s="96">
        <v>301396</v>
      </c>
      <c r="B507" s="1286" t="s">
        <v>194</v>
      </c>
      <c r="C507" s="782">
        <f>'TAR_Tab 2_Volumina'!N510</f>
        <v>0</v>
      </c>
      <c r="D507" s="976"/>
      <c r="E507" s="1318">
        <v>0</v>
      </c>
      <c r="F507" s="1116">
        <f t="shared" si="78"/>
        <v>0</v>
      </c>
      <c r="G507" s="1116">
        <f t="shared" si="79"/>
        <v>0</v>
      </c>
      <c r="H507" s="976"/>
      <c r="I507" s="1117">
        <f t="shared" si="89"/>
        <v>0</v>
      </c>
      <c r="J507" s="1117">
        <f t="shared" si="89"/>
        <v>0</v>
      </c>
      <c r="K507" s="1320"/>
      <c r="L507" s="1000" t="str">
        <f t="shared" si="80"/>
        <v/>
      </c>
      <c r="M507" s="1118">
        <f t="shared" si="81"/>
        <v>0</v>
      </c>
      <c r="N507" s="976"/>
      <c r="O507" s="1119">
        <f t="shared" si="88"/>
        <v>0</v>
      </c>
      <c r="P507" s="1119">
        <f t="shared" si="87"/>
        <v>0</v>
      </c>
      <c r="Q507" s="1119">
        <f t="shared" si="87"/>
        <v>0</v>
      </c>
      <c r="R507" s="1119">
        <f t="shared" si="87"/>
        <v>0</v>
      </c>
      <c r="S507" s="1119">
        <f t="shared" si="87"/>
        <v>0</v>
      </c>
      <c r="T507" s="1119">
        <f t="shared" si="87"/>
        <v>0</v>
      </c>
      <c r="U507" s="1119">
        <f t="shared" si="87"/>
        <v>0</v>
      </c>
      <c r="V507" s="1119">
        <f t="shared" si="87"/>
        <v>0</v>
      </c>
      <c r="W507" s="1119">
        <f t="shared" si="87"/>
        <v>0</v>
      </c>
      <c r="X507" s="978"/>
      <c r="Y507" s="1120">
        <f t="shared" si="82"/>
        <v>0</v>
      </c>
      <c r="Z507" s="1354"/>
      <c r="AA507" s="1001">
        <v>0</v>
      </c>
      <c r="AB507" s="978"/>
      <c r="AC507" s="1036">
        <f t="shared" si="83"/>
        <v>0</v>
      </c>
      <c r="AD507" s="783">
        <f t="shared" si="84"/>
        <v>0</v>
      </c>
      <c r="AE507" s="1321"/>
      <c r="AF507" s="1322"/>
      <c r="AG507" s="740"/>
    </row>
    <row r="508" spans="1:33">
      <c r="A508" s="96">
        <v>301397</v>
      </c>
      <c r="B508" s="1286" t="s">
        <v>190</v>
      </c>
      <c r="C508" s="782">
        <f>'TAR_Tab 2_Volumina'!N511</f>
        <v>0</v>
      </c>
      <c r="D508" s="976"/>
      <c r="E508" s="1318">
        <v>0</v>
      </c>
      <c r="F508" s="1116">
        <f t="shared" si="78"/>
        <v>0</v>
      </c>
      <c r="G508" s="1116">
        <f t="shared" si="79"/>
        <v>0</v>
      </c>
      <c r="H508" s="976"/>
      <c r="I508" s="1117">
        <f t="shared" si="89"/>
        <v>0</v>
      </c>
      <c r="J508" s="1117">
        <f t="shared" si="89"/>
        <v>0</v>
      </c>
      <c r="K508" s="1320"/>
      <c r="L508" s="1000" t="str">
        <f t="shared" si="80"/>
        <v/>
      </c>
      <c r="M508" s="1118">
        <f t="shared" si="81"/>
        <v>0</v>
      </c>
      <c r="N508" s="976"/>
      <c r="O508" s="1119">
        <f t="shared" si="88"/>
        <v>0</v>
      </c>
      <c r="P508" s="1119">
        <f t="shared" si="87"/>
        <v>0</v>
      </c>
      <c r="Q508" s="1119">
        <f t="shared" si="87"/>
        <v>0</v>
      </c>
      <c r="R508" s="1119">
        <f t="shared" si="87"/>
        <v>0</v>
      </c>
      <c r="S508" s="1119">
        <f t="shared" si="87"/>
        <v>0</v>
      </c>
      <c r="T508" s="1119">
        <f t="shared" si="87"/>
        <v>0</v>
      </c>
      <c r="U508" s="1119">
        <f t="shared" si="87"/>
        <v>0</v>
      </c>
      <c r="V508" s="1119">
        <f t="shared" si="87"/>
        <v>0</v>
      </c>
      <c r="W508" s="1119">
        <f t="shared" si="87"/>
        <v>0</v>
      </c>
      <c r="X508" s="978"/>
      <c r="Y508" s="1120">
        <f t="shared" si="82"/>
        <v>0</v>
      </c>
      <c r="Z508" s="1354"/>
      <c r="AA508" s="1001">
        <v>0</v>
      </c>
      <c r="AB508" s="978"/>
      <c r="AC508" s="1036">
        <f t="shared" si="83"/>
        <v>0</v>
      </c>
      <c r="AD508" s="783">
        <f t="shared" si="84"/>
        <v>0</v>
      </c>
      <c r="AE508" s="1321"/>
      <c r="AF508" s="1322"/>
      <c r="AG508" s="740"/>
    </row>
    <row r="509" spans="1:33">
      <c r="A509" s="96">
        <v>301400</v>
      </c>
      <c r="B509" s="1286" t="s">
        <v>191</v>
      </c>
      <c r="C509" s="782">
        <f>'TAR_Tab 2_Volumina'!N512</f>
        <v>0</v>
      </c>
      <c r="D509" s="976"/>
      <c r="E509" s="1318">
        <v>0</v>
      </c>
      <c r="F509" s="1116">
        <f t="shared" si="78"/>
        <v>0</v>
      </c>
      <c r="G509" s="1116">
        <f t="shared" si="79"/>
        <v>0</v>
      </c>
      <c r="H509" s="976"/>
      <c r="I509" s="1117">
        <f t="shared" si="89"/>
        <v>0</v>
      </c>
      <c r="J509" s="1117">
        <f t="shared" si="89"/>
        <v>0</v>
      </c>
      <c r="K509" s="1320"/>
      <c r="L509" s="1000" t="str">
        <f t="shared" si="80"/>
        <v/>
      </c>
      <c r="M509" s="1118">
        <f t="shared" si="81"/>
        <v>0</v>
      </c>
      <c r="N509" s="976"/>
      <c r="O509" s="1119">
        <f t="shared" si="88"/>
        <v>0</v>
      </c>
      <c r="P509" s="1119">
        <f t="shared" si="87"/>
        <v>0</v>
      </c>
      <c r="Q509" s="1119">
        <f t="shared" si="87"/>
        <v>0</v>
      </c>
      <c r="R509" s="1119">
        <f t="shared" si="87"/>
        <v>0</v>
      </c>
      <c r="S509" s="1119">
        <f t="shared" si="87"/>
        <v>0</v>
      </c>
      <c r="T509" s="1119">
        <f t="shared" si="87"/>
        <v>0</v>
      </c>
      <c r="U509" s="1119">
        <f t="shared" si="87"/>
        <v>0</v>
      </c>
      <c r="V509" s="1119">
        <f t="shared" si="87"/>
        <v>0</v>
      </c>
      <c r="W509" s="1119">
        <f t="shared" si="87"/>
        <v>0</v>
      </c>
      <c r="X509" s="978"/>
      <c r="Y509" s="1120">
        <f t="shared" si="82"/>
        <v>0</v>
      </c>
      <c r="Z509" s="1354"/>
      <c r="AA509" s="1001">
        <v>0</v>
      </c>
      <c r="AB509" s="978"/>
      <c r="AC509" s="1036">
        <f t="shared" si="83"/>
        <v>0</v>
      </c>
      <c r="AD509" s="783">
        <f t="shared" si="84"/>
        <v>0</v>
      </c>
      <c r="AE509" s="1321"/>
      <c r="AF509" s="1322"/>
      <c r="AG509" s="740"/>
    </row>
    <row r="510" spans="1:33">
      <c r="A510" s="96">
        <v>301401</v>
      </c>
      <c r="B510" s="1286" t="s">
        <v>534</v>
      </c>
      <c r="C510" s="782">
        <f>'TAR_Tab 2_Volumina'!N513</f>
        <v>0</v>
      </c>
      <c r="D510" s="976"/>
      <c r="E510" s="1318">
        <v>0</v>
      </c>
      <c r="F510" s="1116">
        <f t="shared" si="78"/>
        <v>0</v>
      </c>
      <c r="G510" s="1116">
        <f t="shared" si="79"/>
        <v>0</v>
      </c>
      <c r="H510" s="976"/>
      <c r="I510" s="1117">
        <f t="shared" si="89"/>
        <v>0</v>
      </c>
      <c r="J510" s="1117">
        <f t="shared" si="89"/>
        <v>0</v>
      </c>
      <c r="K510" s="1320"/>
      <c r="L510" s="1000" t="str">
        <f t="shared" si="80"/>
        <v/>
      </c>
      <c r="M510" s="1118">
        <f t="shared" si="81"/>
        <v>0</v>
      </c>
      <c r="N510" s="976"/>
      <c r="O510" s="1119">
        <f t="shared" si="88"/>
        <v>0</v>
      </c>
      <c r="P510" s="1119">
        <f t="shared" si="87"/>
        <v>0</v>
      </c>
      <c r="Q510" s="1119">
        <f t="shared" si="87"/>
        <v>0</v>
      </c>
      <c r="R510" s="1119">
        <f t="shared" si="87"/>
        <v>0</v>
      </c>
      <c r="S510" s="1119">
        <f t="shared" si="87"/>
        <v>0</v>
      </c>
      <c r="T510" s="1119">
        <f t="shared" si="87"/>
        <v>0</v>
      </c>
      <c r="U510" s="1119">
        <f t="shared" si="87"/>
        <v>0</v>
      </c>
      <c r="V510" s="1119">
        <f t="shared" si="87"/>
        <v>0</v>
      </c>
      <c r="W510" s="1119">
        <f t="shared" si="87"/>
        <v>0</v>
      </c>
      <c r="X510" s="978"/>
      <c r="Y510" s="1120">
        <f t="shared" si="82"/>
        <v>0</v>
      </c>
      <c r="Z510" s="1354"/>
      <c r="AA510" s="1001">
        <v>0</v>
      </c>
      <c r="AB510" s="978"/>
      <c r="AC510" s="1036">
        <f t="shared" si="83"/>
        <v>0</v>
      </c>
      <c r="AD510" s="783">
        <f t="shared" si="84"/>
        <v>0</v>
      </c>
      <c r="AE510" s="1321"/>
      <c r="AF510" s="1322"/>
      <c r="AG510" s="740"/>
    </row>
    <row r="511" spans="1:33">
      <c r="A511" s="96">
        <v>301418</v>
      </c>
      <c r="B511" s="1286" t="s">
        <v>195</v>
      </c>
      <c r="C511" s="782">
        <f>'TAR_Tab 2_Volumina'!N514</f>
        <v>1</v>
      </c>
      <c r="D511" s="976"/>
      <c r="E511" s="1318">
        <v>17861.01390568259</v>
      </c>
      <c r="F511" s="1116">
        <f t="shared" si="78"/>
        <v>16996.540832647552</v>
      </c>
      <c r="G511" s="1116">
        <f t="shared" si="79"/>
        <v>17393.767082242914</v>
      </c>
      <c r="H511" s="976"/>
      <c r="I511" s="1117">
        <f t="shared" si="89"/>
        <v>16524.078728130768</v>
      </c>
      <c r="J511" s="1117">
        <f t="shared" si="89"/>
        <v>18263.45543635506</v>
      </c>
      <c r="K511" s="1320"/>
      <c r="L511" s="1000" t="str">
        <f t="shared" si="80"/>
        <v/>
      </c>
      <c r="M511" s="1118">
        <f t="shared" si="81"/>
        <v>17393.767082242914</v>
      </c>
      <c r="N511" s="976"/>
      <c r="O511" s="1119">
        <f t="shared" si="88"/>
        <v>-806.68567480189563</v>
      </c>
      <c r="P511" s="1119">
        <f t="shared" si="87"/>
        <v>834.70472044811856</v>
      </c>
      <c r="Q511" s="1119">
        <f t="shared" si="87"/>
        <v>0</v>
      </c>
      <c r="R511" s="1119">
        <f t="shared" si="87"/>
        <v>31.44541525601797</v>
      </c>
      <c r="S511" s="1119">
        <f t="shared" si="87"/>
        <v>728.26984823413966</v>
      </c>
      <c r="T511" s="1119">
        <f t="shared" si="87"/>
        <v>-95.309108646485171</v>
      </c>
      <c r="U511" s="1119">
        <f t="shared" si="87"/>
        <v>-3.5856362779786122</v>
      </c>
      <c r="V511" s="1119">
        <f t="shared" si="87"/>
        <v>-296.46925773814843</v>
      </c>
      <c r="W511" s="1119">
        <f t="shared" si="87"/>
        <v>23.392442910364515</v>
      </c>
      <c r="X511" s="978"/>
      <c r="Y511" s="1120">
        <f t="shared" si="82"/>
        <v>17809.529831627045</v>
      </c>
      <c r="Z511" s="1354"/>
      <c r="AA511" s="1001">
        <v>0.18080799756346325</v>
      </c>
      <c r="AB511" s="978"/>
      <c r="AC511" s="1036">
        <f t="shared" si="83"/>
        <v>0.18080799756346325</v>
      </c>
      <c r="AD511" s="783">
        <f t="shared" si="84"/>
        <v>0.18099999999999999</v>
      </c>
      <c r="AE511" s="1321"/>
      <c r="AF511" s="1322"/>
      <c r="AG511" s="740"/>
    </row>
    <row r="512" spans="1:33">
      <c r="A512" s="96">
        <v>301420</v>
      </c>
      <c r="B512" s="1286" t="s">
        <v>196</v>
      </c>
      <c r="C512" s="782">
        <f>'TAR_Tab 2_Volumina'!N515</f>
        <v>1</v>
      </c>
      <c r="D512" s="976"/>
      <c r="E512" s="1318">
        <v>17861.01390568259</v>
      </c>
      <c r="F512" s="1116">
        <f t="shared" si="78"/>
        <v>16996.540832647552</v>
      </c>
      <c r="G512" s="1116">
        <f t="shared" si="79"/>
        <v>17393.767082242914</v>
      </c>
      <c r="H512" s="976"/>
      <c r="I512" s="1117">
        <f t="shared" si="89"/>
        <v>16524.078728130768</v>
      </c>
      <c r="J512" s="1117">
        <f t="shared" si="89"/>
        <v>18263.45543635506</v>
      </c>
      <c r="K512" s="1320"/>
      <c r="L512" s="1000" t="str">
        <f t="shared" si="80"/>
        <v/>
      </c>
      <c r="M512" s="1118">
        <f t="shared" si="81"/>
        <v>17393.767082242914</v>
      </c>
      <c r="N512" s="976"/>
      <c r="O512" s="1119">
        <f t="shared" si="88"/>
        <v>-806.68567480189563</v>
      </c>
      <c r="P512" s="1119">
        <f t="shared" si="87"/>
        <v>834.70472044811856</v>
      </c>
      <c r="Q512" s="1119">
        <f t="shared" si="87"/>
        <v>0</v>
      </c>
      <c r="R512" s="1119">
        <f t="shared" si="87"/>
        <v>31.44541525601797</v>
      </c>
      <c r="S512" s="1119">
        <f t="shared" si="87"/>
        <v>728.26984823413966</v>
      </c>
      <c r="T512" s="1119">
        <f t="shared" si="87"/>
        <v>-95.309108646485171</v>
      </c>
      <c r="U512" s="1119">
        <f t="shared" si="87"/>
        <v>-3.5856362779786122</v>
      </c>
      <c r="V512" s="1119">
        <f t="shared" si="87"/>
        <v>-296.46925773814843</v>
      </c>
      <c r="W512" s="1119">
        <f t="shared" si="87"/>
        <v>23.392442910364515</v>
      </c>
      <c r="X512" s="978"/>
      <c r="Y512" s="1120">
        <f t="shared" si="82"/>
        <v>17809.529831627045</v>
      </c>
      <c r="Z512" s="1354"/>
      <c r="AA512" s="1001">
        <v>0.1178287169427194</v>
      </c>
      <c r="AB512" s="978"/>
      <c r="AC512" s="1036">
        <f t="shared" si="83"/>
        <v>0.1178287169427194</v>
      </c>
      <c r="AD512" s="783">
        <f t="shared" si="84"/>
        <v>0.11799999999999999</v>
      </c>
      <c r="AE512" s="1321"/>
      <c r="AF512" s="1322"/>
      <c r="AG512" s="740"/>
    </row>
    <row r="513" spans="1:33">
      <c r="A513" s="96">
        <v>301421</v>
      </c>
      <c r="B513" s="1286" t="s">
        <v>197</v>
      </c>
      <c r="C513" s="782">
        <f>'TAR_Tab 2_Volumina'!N516</f>
        <v>1</v>
      </c>
      <c r="D513" s="976"/>
      <c r="E513" s="1318">
        <v>53583.041717047774</v>
      </c>
      <c r="F513" s="1116">
        <f t="shared" si="78"/>
        <v>50989.622497942662</v>
      </c>
      <c r="G513" s="1116">
        <f t="shared" si="79"/>
        <v>52181.301246728748</v>
      </c>
      <c r="H513" s="976"/>
      <c r="I513" s="1117">
        <f t="shared" si="89"/>
        <v>49572.236184392306</v>
      </c>
      <c r="J513" s="1117">
        <f t="shared" si="89"/>
        <v>54790.36630906519</v>
      </c>
      <c r="K513" s="1320"/>
      <c r="L513" s="1000" t="str">
        <f t="shared" si="80"/>
        <v/>
      </c>
      <c r="M513" s="1118">
        <f t="shared" si="81"/>
        <v>52181.301246728748</v>
      </c>
      <c r="N513" s="976"/>
      <c r="O513" s="1119">
        <f t="shared" si="88"/>
        <v>-2420.0570244056871</v>
      </c>
      <c r="P513" s="1119">
        <f t="shared" si="87"/>
        <v>2504.114161344356</v>
      </c>
      <c r="Q513" s="1119">
        <f t="shared" si="87"/>
        <v>0</v>
      </c>
      <c r="R513" s="1119">
        <f t="shared" si="87"/>
        <v>94.336245768053928</v>
      </c>
      <c r="S513" s="1119">
        <f t="shared" si="87"/>
        <v>2184.8095447024193</v>
      </c>
      <c r="T513" s="1119">
        <f t="shared" si="87"/>
        <v>-285.92732593945556</v>
      </c>
      <c r="U513" s="1119">
        <f t="shared" si="87"/>
        <v>-10.756908833935839</v>
      </c>
      <c r="V513" s="1119">
        <f t="shared" si="87"/>
        <v>-889.40777321444534</v>
      </c>
      <c r="W513" s="1119">
        <f t="shared" si="87"/>
        <v>70.177328731093553</v>
      </c>
      <c r="X513" s="978"/>
      <c r="Y513" s="1120">
        <f t="shared" si="82"/>
        <v>53428.589494881147</v>
      </c>
      <c r="Z513" s="1354"/>
      <c r="AA513" s="1001">
        <v>8.6737010794711578E-2</v>
      </c>
      <c r="AB513" s="978"/>
      <c r="AC513" s="1036">
        <f t="shared" si="83"/>
        <v>8.6737010794711578E-2</v>
      </c>
      <c r="AD513" s="783">
        <f t="shared" si="84"/>
        <v>8.6999999999999994E-2</v>
      </c>
      <c r="AE513" s="1321"/>
      <c r="AF513" s="1322"/>
      <c r="AG513" s="740"/>
    </row>
    <row r="514" spans="1:33">
      <c r="A514" s="96">
        <v>301427</v>
      </c>
      <c r="B514" s="1286" t="s">
        <v>198</v>
      </c>
      <c r="C514" s="782">
        <f>'TAR_Tab 2_Volumina'!N517</f>
        <v>0</v>
      </c>
      <c r="D514" s="976"/>
      <c r="E514" s="1318">
        <v>0</v>
      </c>
      <c r="F514" s="1116">
        <f t="shared" si="78"/>
        <v>0</v>
      </c>
      <c r="G514" s="1116">
        <f t="shared" si="79"/>
        <v>0</v>
      </c>
      <c r="H514" s="976"/>
      <c r="I514" s="1117">
        <f t="shared" si="89"/>
        <v>0</v>
      </c>
      <c r="J514" s="1117">
        <f t="shared" si="89"/>
        <v>0</v>
      </c>
      <c r="K514" s="1320"/>
      <c r="L514" s="1000" t="str">
        <f t="shared" si="80"/>
        <v/>
      </c>
      <c r="M514" s="1118">
        <f t="shared" si="81"/>
        <v>0</v>
      </c>
      <c r="N514" s="976"/>
      <c r="O514" s="1119">
        <f t="shared" si="88"/>
        <v>0</v>
      </c>
      <c r="P514" s="1119">
        <f t="shared" si="87"/>
        <v>0</v>
      </c>
      <c r="Q514" s="1119">
        <f t="shared" si="87"/>
        <v>0</v>
      </c>
      <c r="R514" s="1119">
        <f t="shared" si="87"/>
        <v>0</v>
      </c>
      <c r="S514" s="1119">
        <f t="shared" si="87"/>
        <v>0</v>
      </c>
      <c r="T514" s="1119">
        <f t="shared" si="87"/>
        <v>0</v>
      </c>
      <c r="U514" s="1119">
        <f t="shared" si="87"/>
        <v>0</v>
      </c>
      <c r="V514" s="1119">
        <f t="shared" si="87"/>
        <v>0</v>
      </c>
      <c r="W514" s="1119">
        <f t="shared" si="87"/>
        <v>0</v>
      </c>
      <c r="X514" s="978"/>
      <c r="Y514" s="1120">
        <f t="shared" si="82"/>
        <v>0</v>
      </c>
      <c r="Z514" s="1354"/>
      <c r="AA514" s="1001">
        <v>0</v>
      </c>
      <c r="AB514" s="978"/>
      <c r="AC514" s="1036">
        <f t="shared" si="83"/>
        <v>0</v>
      </c>
      <c r="AD514" s="783">
        <f t="shared" si="84"/>
        <v>0</v>
      </c>
      <c r="AE514" s="1321"/>
      <c r="AF514" s="1322"/>
      <c r="AG514" s="740"/>
    </row>
    <row r="515" spans="1:33">
      <c r="A515" s="96">
        <v>301429</v>
      </c>
      <c r="B515" s="1286" t="s">
        <v>175</v>
      </c>
      <c r="C515" s="782">
        <f>'TAR_Tab 2_Volumina'!N518</f>
        <v>0</v>
      </c>
      <c r="D515" s="976"/>
      <c r="E515" s="1318">
        <v>0</v>
      </c>
      <c r="F515" s="1116">
        <f t="shared" si="78"/>
        <v>0</v>
      </c>
      <c r="G515" s="1116">
        <f t="shared" si="79"/>
        <v>0</v>
      </c>
      <c r="H515" s="976"/>
      <c r="I515" s="1117">
        <f t="shared" si="89"/>
        <v>0</v>
      </c>
      <c r="J515" s="1117">
        <f t="shared" si="89"/>
        <v>0</v>
      </c>
      <c r="K515" s="1320"/>
      <c r="L515" s="1000" t="str">
        <f t="shared" si="80"/>
        <v/>
      </c>
      <c r="M515" s="1118">
        <f t="shared" si="81"/>
        <v>0</v>
      </c>
      <c r="N515" s="976"/>
      <c r="O515" s="1119">
        <f t="shared" si="88"/>
        <v>0</v>
      </c>
      <c r="P515" s="1119">
        <f t="shared" si="87"/>
        <v>0</v>
      </c>
      <c r="Q515" s="1119">
        <f t="shared" si="87"/>
        <v>0</v>
      </c>
      <c r="R515" s="1119">
        <f t="shared" si="87"/>
        <v>0</v>
      </c>
      <c r="S515" s="1119">
        <f t="shared" si="87"/>
        <v>0</v>
      </c>
      <c r="T515" s="1119">
        <f t="shared" si="87"/>
        <v>0</v>
      </c>
      <c r="U515" s="1119">
        <f t="shared" si="87"/>
        <v>0</v>
      </c>
      <c r="V515" s="1119">
        <f t="shared" si="87"/>
        <v>0</v>
      </c>
      <c r="W515" s="1119">
        <f t="shared" si="87"/>
        <v>0</v>
      </c>
      <c r="X515" s="978"/>
      <c r="Y515" s="1120">
        <f t="shared" si="82"/>
        <v>0</v>
      </c>
      <c r="Z515" s="1354"/>
      <c r="AA515" s="1001">
        <v>0</v>
      </c>
      <c r="AB515" s="978"/>
      <c r="AC515" s="1036">
        <f t="shared" si="83"/>
        <v>0</v>
      </c>
      <c r="AD515" s="783">
        <f t="shared" si="84"/>
        <v>0</v>
      </c>
      <c r="AE515" s="1321"/>
      <c r="AF515" s="1322"/>
      <c r="AG515" s="740"/>
    </row>
    <row r="516" spans="1:33">
      <c r="A516" s="96">
        <v>301431</v>
      </c>
      <c r="B516" s="1286" t="s">
        <v>199</v>
      </c>
      <c r="C516" s="782">
        <f>'TAR_Tab 2_Volumina'!N519</f>
        <v>0</v>
      </c>
      <c r="D516" s="976"/>
      <c r="E516" s="1318">
        <v>0</v>
      </c>
      <c r="F516" s="1116">
        <f t="shared" si="78"/>
        <v>0</v>
      </c>
      <c r="G516" s="1116">
        <f t="shared" si="79"/>
        <v>0</v>
      </c>
      <c r="H516" s="976"/>
      <c r="I516" s="1117">
        <f t="shared" si="89"/>
        <v>0</v>
      </c>
      <c r="J516" s="1117">
        <f t="shared" si="89"/>
        <v>0</v>
      </c>
      <c r="K516" s="1320"/>
      <c r="L516" s="1000" t="str">
        <f t="shared" si="80"/>
        <v/>
      </c>
      <c r="M516" s="1118">
        <f t="shared" si="81"/>
        <v>0</v>
      </c>
      <c r="N516" s="976"/>
      <c r="O516" s="1119">
        <f t="shared" si="88"/>
        <v>0</v>
      </c>
      <c r="P516" s="1119">
        <f t="shared" si="87"/>
        <v>0</v>
      </c>
      <c r="Q516" s="1119">
        <f t="shared" si="87"/>
        <v>0</v>
      </c>
      <c r="R516" s="1119">
        <f t="shared" si="87"/>
        <v>0</v>
      </c>
      <c r="S516" s="1119">
        <f t="shared" si="87"/>
        <v>0</v>
      </c>
      <c r="T516" s="1119">
        <f t="shared" si="87"/>
        <v>0</v>
      </c>
      <c r="U516" s="1119">
        <f t="shared" si="87"/>
        <v>0</v>
      </c>
      <c r="V516" s="1119">
        <f t="shared" si="87"/>
        <v>0</v>
      </c>
      <c r="W516" s="1119">
        <f t="shared" si="87"/>
        <v>0</v>
      </c>
      <c r="X516" s="978"/>
      <c r="Y516" s="1120">
        <f t="shared" si="82"/>
        <v>0</v>
      </c>
      <c r="Z516" s="1354"/>
      <c r="AA516" s="1001">
        <v>0</v>
      </c>
      <c r="AB516" s="978"/>
      <c r="AC516" s="1036">
        <f t="shared" si="83"/>
        <v>0</v>
      </c>
      <c r="AD516" s="783">
        <f t="shared" si="84"/>
        <v>0</v>
      </c>
      <c r="AE516" s="1321"/>
      <c r="AF516" s="1322"/>
      <c r="AG516" s="740"/>
    </row>
    <row r="517" spans="1:33">
      <c r="A517" s="96">
        <v>301432</v>
      </c>
      <c r="B517" s="1286" t="s">
        <v>537</v>
      </c>
      <c r="C517" s="782">
        <f>'TAR_Tab 2_Volumina'!N520</f>
        <v>1</v>
      </c>
      <c r="D517" s="976"/>
      <c r="E517" s="1318">
        <v>71444.05562273036</v>
      </c>
      <c r="F517" s="1116">
        <f t="shared" si="78"/>
        <v>67986.163330590207</v>
      </c>
      <c r="G517" s="1116">
        <f t="shared" si="79"/>
        <v>69575.068328971654</v>
      </c>
      <c r="H517" s="976"/>
      <c r="I517" s="1117">
        <f t="shared" si="89"/>
        <v>66096.31491252307</v>
      </c>
      <c r="J517" s="1117">
        <f t="shared" si="89"/>
        <v>73053.821745420239</v>
      </c>
      <c r="K517" s="1320"/>
      <c r="L517" s="1000" t="str">
        <f t="shared" si="80"/>
        <v/>
      </c>
      <c r="M517" s="1118">
        <f t="shared" si="81"/>
        <v>69575.068328971654</v>
      </c>
      <c r="N517" s="976"/>
      <c r="O517" s="1119">
        <f t="shared" si="88"/>
        <v>-3226.7426992075825</v>
      </c>
      <c r="P517" s="1119">
        <f t="shared" si="87"/>
        <v>3338.8188817924743</v>
      </c>
      <c r="Q517" s="1119">
        <f t="shared" si="87"/>
        <v>0</v>
      </c>
      <c r="R517" s="1119">
        <f t="shared" si="87"/>
        <v>125.78166102407188</v>
      </c>
      <c r="S517" s="1119">
        <f t="shared" si="87"/>
        <v>2913.0793929365586</v>
      </c>
      <c r="T517" s="1119">
        <f t="shared" si="87"/>
        <v>-381.23643458594069</v>
      </c>
      <c r="U517" s="1119">
        <f t="shared" si="87"/>
        <v>-14.342545111914449</v>
      </c>
      <c r="V517" s="1119">
        <f t="shared" si="87"/>
        <v>-1185.8770309525937</v>
      </c>
      <c r="W517" s="1119">
        <f t="shared" si="87"/>
        <v>93.569771641458061</v>
      </c>
      <c r="X517" s="978"/>
      <c r="Y517" s="1120">
        <f t="shared" si="82"/>
        <v>71238.119326508182</v>
      </c>
      <c r="Z517" s="1354"/>
      <c r="AA517" s="1001">
        <v>0.11591561786083572</v>
      </c>
      <c r="AB517" s="978"/>
      <c r="AC517" s="1036">
        <f t="shared" si="83"/>
        <v>0.11591561786083572</v>
      </c>
      <c r="AD517" s="783">
        <f t="shared" si="84"/>
        <v>0.11600000000000001</v>
      </c>
      <c r="AE517" s="1321"/>
      <c r="AF517" s="1322"/>
      <c r="AG517" s="740"/>
    </row>
    <row r="518" spans="1:33">
      <c r="A518" s="96">
        <v>301433</v>
      </c>
      <c r="B518" s="1286" t="s">
        <v>538</v>
      </c>
      <c r="C518" s="782">
        <f>'TAR_Tab 2_Volumina'!N521</f>
        <v>1</v>
      </c>
      <c r="D518" s="976"/>
      <c r="E518" s="1318">
        <v>35722.02781136518</v>
      </c>
      <c r="F518" s="1116">
        <f t="shared" si="78"/>
        <v>33993.081665295103</v>
      </c>
      <c r="G518" s="1116">
        <f t="shared" si="79"/>
        <v>34787.534164485827</v>
      </c>
      <c r="H518" s="976"/>
      <c r="I518" s="1117">
        <f t="shared" si="89"/>
        <v>33048.157456261535</v>
      </c>
      <c r="J518" s="1117">
        <f t="shared" si="89"/>
        <v>36526.910872710119</v>
      </c>
      <c r="K518" s="1320"/>
      <c r="L518" s="1000" t="str">
        <f t="shared" si="80"/>
        <v/>
      </c>
      <c r="M518" s="1118">
        <f t="shared" si="81"/>
        <v>34787.534164485827</v>
      </c>
      <c r="N518" s="976"/>
      <c r="O518" s="1119">
        <f t="shared" si="88"/>
        <v>-1613.3713496037913</v>
      </c>
      <c r="P518" s="1119">
        <f t="shared" si="87"/>
        <v>1669.4094408962371</v>
      </c>
      <c r="Q518" s="1119">
        <f t="shared" ref="P518:W549" si="90">$M518*Q$5</f>
        <v>0</v>
      </c>
      <c r="R518" s="1119">
        <f t="shared" si="90"/>
        <v>62.89083051203594</v>
      </c>
      <c r="S518" s="1119">
        <f t="shared" si="90"/>
        <v>1456.5396964682793</v>
      </c>
      <c r="T518" s="1119">
        <f t="shared" si="90"/>
        <v>-190.61821729297034</v>
      </c>
      <c r="U518" s="1119">
        <f t="shared" si="90"/>
        <v>-7.1712725559572243</v>
      </c>
      <c r="V518" s="1119">
        <f t="shared" si="90"/>
        <v>-592.93851547629686</v>
      </c>
      <c r="W518" s="1119">
        <f t="shared" si="90"/>
        <v>46.784885820729031</v>
      </c>
      <c r="X518" s="978"/>
      <c r="Y518" s="1120">
        <f t="shared" si="82"/>
        <v>35619.059663254091</v>
      </c>
      <c r="Z518" s="1354"/>
      <c r="AA518" s="1001">
        <v>7.6294504489495873E-2</v>
      </c>
      <c r="AB518" s="978"/>
      <c r="AC518" s="1036">
        <f t="shared" si="83"/>
        <v>7.6294504489495873E-2</v>
      </c>
      <c r="AD518" s="783">
        <f t="shared" si="84"/>
        <v>7.5999999999999998E-2</v>
      </c>
      <c r="AE518" s="1321"/>
      <c r="AF518" s="1322"/>
      <c r="AG518" s="740"/>
    </row>
    <row r="519" spans="1:33">
      <c r="A519" s="96">
        <v>301434</v>
      </c>
      <c r="B519" s="1286" t="s">
        <v>333</v>
      </c>
      <c r="C519" s="782">
        <f>'TAR_Tab 2_Volumina'!N522</f>
        <v>1</v>
      </c>
      <c r="D519" s="976"/>
      <c r="E519" s="1318">
        <v>160749.12515114332</v>
      </c>
      <c r="F519" s="1116">
        <f t="shared" ref="F519:F557" si="91">E519*$F$5*C519</f>
        <v>152968.86749382797</v>
      </c>
      <c r="G519" s="1116">
        <f t="shared" ref="G519:G557" si="92">F519*$G$5</f>
        <v>156543.90374018624</v>
      </c>
      <c r="H519" s="976"/>
      <c r="I519" s="1117">
        <f t="shared" si="89"/>
        <v>148716.70855317693</v>
      </c>
      <c r="J519" s="1117">
        <f t="shared" si="89"/>
        <v>164371.09892719556</v>
      </c>
      <c r="K519" s="1320"/>
      <c r="L519" s="1000" t="str">
        <f t="shared" si="80"/>
        <v/>
      </c>
      <c r="M519" s="1118">
        <f t="shared" si="81"/>
        <v>156543.90374018624</v>
      </c>
      <c r="N519" s="976"/>
      <c r="O519" s="1119">
        <f t="shared" si="88"/>
        <v>-7260.1710732170613</v>
      </c>
      <c r="P519" s="1119">
        <f t="shared" si="90"/>
        <v>7512.3424840330681</v>
      </c>
      <c r="Q519" s="1119">
        <f t="shared" si="90"/>
        <v>0</v>
      </c>
      <c r="R519" s="1119">
        <f t="shared" si="90"/>
        <v>283.0087373041618</v>
      </c>
      <c r="S519" s="1119">
        <f t="shared" si="90"/>
        <v>6554.4286341072575</v>
      </c>
      <c r="T519" s="1119">
        <f t="shared" si="90"/>
        <v>-857.78197781836661</v>
      </c>
      <c r="U519" s="1119">
        <f t="shared" si="90"/>
        <v>-32.270726501807516</v>
      </c>
      <c r="V519" s="1119">
        <f t="shared" si="90"/>
        <v>-2668.2233196433363</v>
      </c>
      <c r="W519" s="1119">
        <f t="shared" si="90"/>
        <v>210.53198619328066</v>
      </c>
      <c r="X519" s="978"/>
      <c r="Y519" s="1120">
        <f t="shared" si="82"/>
        <v>160285.76848464343</v>
      </c>
      <c r="Z519" s="1354"/>
      <c r="AA519" s="1001">
        <v>0.18717162925885883</v>
      </c>
      <c r="AB519" s="978"/>
      <c r="AC519" s="1036">
        <f t="shared" si="83"/>
        <v>0.18717162925885883</v>
      </c>
      <c r="AD519" s="783">
        <f t="shared" si="84"/>
        <v>0.187</v>
      </c>
      <c r="AE519" s="1321"/>
      <c r="AF519" s="1322"/>
      <c r="AG519" s="740"/>
    </row>
    <row r="520" spans="1:33">
      <c r="A520" s="96">
        <v>301435</v>
      </c>
      <c r="B520" s="1286" t="s">
        <v>539</v>
      </c>
      <c r="C520" s="782">
        <f>'TAR_Tab 2_Volumina'!N523</f>
        <v>1</v>
      </c>
      <c r="D520" s="976"/>
      <c r="E520" s="1318">
        <v>125027.09733977813</v>
      </c>
      <c r="F520" s="1116">
        <f t="shared" si="91"/>
        <v>118975.78582853287</v>
      </c>
      <c r="G520" s="1116">
        <f t="shared" si="92"/>
        <v>121756.3695757004</v>
      </c>
      <c r="H520" s="976"/>
      <c r="I520" s="1117">
        <f t="shared" si="89"/>
        <v>115668.55109691538</v>
      </c>
      <c r="J520" s="1117">
        <f t="shared" si="89"/>
        <v>127844.18805448542</v>
      </c>
      <c r="K520" s="1320"/>
      <c r="L520" s="1000" t="str">
        <f t="shared" ref="L520:L557" si="93">IF(K520&gt;0,AND(K520&gt;=I520,K520&lt;=J520),"")</f>
        <v/>
      </c>
      <c r="M520" s="1118">
        <f t="shared" ref="M520:M557" si="94">IF(K520&gt;0,K520,G520)</f>
        <v>121756.3695757004</v>
      </c>
      <c r="N520" s="976"/>
      <c r="O520" s="1119">
        <f t="shared" si="88"/>
        <v>-5646.7997236132696</v>
      </c>
      <c r="P520" s="1119">
        <f t="shared" si="90"/>
        <v>5842.9330431368307</v>
      </c>
      <c r="Q520" s="1119">
        <f t="shared" si="90"/>
        <v>0</v>
      </c>
      <c r="R520" s="1119">
        <f t="shared" si="90"/>
        <v>220.11790679212581</v>
      </c>
      <c r="S520" s="1119">
        <f t="shared" si="90"/>
        <v>5097.8889376389779</v>
      </c>
      <c r="T520" s="1119">
        <f t="shared" si="90"/>
        <v>-667.16376052539624</v>
      </c>
      <c r="U520" s="1119">
        <f t="shared" si="90"/>
        <v>-25.099453945850289</v>
      </c>
      <c r="V520" s="1119">
        <f t="shared" si="90"/>
        <v>-2075.2848041670391</v>
      </c>
      <c r="W520" s="1119">
        <f t="shared" si="90"/>
        <v>163.74710037255161</v>
      </c>
      <c r="X520" s="978"/>
      <c r="Y520" s="1120">
        <f t="shared" ref="Y520:Y557" si="95">M520+SUM(O520:W520)</f>
        <v>124666.70882138933</v>
      </c>
      <c r="Z520" s="1354"/>
      <c r="AA520" s="1001">
        <v>0.14903456564351167</v>
      </c>
      <c r="AB520" s="978"/>
      <c r="AC520" s="1036">
        <f t="shared" ref="AC520:AC557" si="96">AA520</f>
        <v>0.14903456564351167</v>
      </c>
      <c r="AD520" s="783">
        <f t="shared" ref="AD520:AD557" si="97">ROUND(AC520,3)</f>
        <v>0.14899999999999999</v>
      </c>
      <c r="AE520" s="1321"/>
      <c r="AF520" s="1322"/>
      <c r="AG520" s="740"/>
    </row>
    <row r="521" spans="1:33">
      <c r="A521" s="96">
        <v>301436</v>
      </c>
      <c r="B521" s="1286" t="s">
        <v>540</v>
      </c>
      <c r="C521" s="782">
        <f>'TAR_Tab 2_Volumina'!N524</f>
        <v>1</v>
      </c>
      <c r="D521" s="976"/>
      <c r="E521" s="1318">
        <v>71444.05562273036</v>
      </c>
      <c r="F521" s="1116">
        <f t="shared" si="91"/>
        <v>67986.163330590207</v>
      </c>
      <c r="G521" s="1116">
        <f t="shared" si="92"/>
        <v>69575.068328971654</v>
      </c>
      <c r="H521" s="976"/>
      <c r="I521" s="1117">
        <f t="shared" si="89"/>
        <v>66096.31491252307</v>
      </c>
      <c r="J521" s="1117">
        <f t="shared" si="89"/>
        <v>73053.821745420239</v>
      </c>
      <c r="K521" s="1320"/>
      <c r="L521" s="1000" t="str">
        <f t="shared" si="93"/>
        <v/>
      </c>
      <c r="M521" s="1118">
        <f t="shared" si="94"/>
        <v>69575.068328971654</v>
      </c>
      <c r="N521" s="976"/>
      <c r="O521" s="1119">
        <f t="shared" si="88"/>
        <v>-3226.7426992075825</v>
      </c>
      <c r="P521" s="1119">
        <f t="shared" si="90"/>
        <v>3338.8188817924743</v>
      </c>
      <c r="Q521" s="1119">
        <f t="shared" si="90"/>
        <v>0</v>
      </c>
      <c r="R521" s="1119">
        <f t="shared" si="90"/>
        <v>125.78166102407188</v>
      </c>
      <c r="S521" s="1119">
        <f t="shared" si="90"/>
        <v>2913.0793929365586</v>
      </c>
      <c r="T521" s="1119">
        <f t="shared" si="90"/>
        <v>-381.23643458594069</v>
      </c>
      <c r="U521" s="1119">
        <f t="shared" si="90"/>
        <v>-14.342545111914449</v>
      </c>
      <c r="V521" s="1119">
        <f t="shared" si="90"/>
        <v>-1185.8770309525937</v>
      </c>
      <c r="W521" s="1119">
        <f t="shared" si="90"/>
        <v>93.569771641458061</v>
      </c>
      <c r="X521" s="978"/>
      <c r="Y521" s="1120">
        <f t="shared" si="95"/>
        <v>71238.119326508182</v>
      </c>
      <c r="Z521" s="1354"/>
      <c r="AA521" s="1001">
        <v>0.27247206766429055</v>
      </c>
      <c r="AB521" s="978"/>
      <c r="AC521" s="1036">
        <f t="shared" si="96"/>
        <v>0.27247206766429055</v>
      </c>
      <c r="AD521" s="783">
        <f t="shared" si="97"/>
        <v>0.27200000000000002</v>
      </c>
      <c r="AE521" s="1321"/>
      <c r="AF521" s="1322"/>
      <c r="AG521" s="740"/>
    </row>
    <row r="522" spans="1:33">
      <c r="A522" s="96">
        <v>301437</v>
      </c>
      <c r="B522" s="1286" t="s">
        <v>541</v>
      </c>
      <c r="C522" s="782">
        <f>'TAR_Tab 2_Volumina'!N525</f>
        <v>1</v>
      </c>
      <c r="D522" s="976"/>
      <c r="E522" s="1318">
        <v>196471.15296250849</v>
      </c>
      <c r="F522" s="1116">
        <f t="shared" si="91"/>
        <v>186961.94915912309</v>
      </c>
      <c r="G522" s="1116">
        <f t="shared" si="92"/>
        <v>191331.43790467209</v>
      </c>
      <c r="H522" s="976"/>
      <c r="I522" s="1117">
        <f t="shared" si="89"/>
        <v>181764.86600943847</v>
      </c>
      <c r="J522" s="1117">
        <f t="shared" si="89"/>
        <v>200898.0097999057</v>
      </c>
      <c r="K522" s="1320"/>
      <c r="L522" s="1000" t="str">
        <f t="shared" si="93"/>
        <v/>
      </c>
      <c r="M522" s="1118">
        <f t="shared" si="94"/>
        <v>191331.43790467209</v>
      </c>
      <c r="N522" s="976"/>
      <c r="O522" s="1119">
        <f t="shared" si="88"/>
        <v>-8873.542422820854</v>
      </c>
      <c r="P522" s="1119">
        <f t="shared" si="90"/>
        <v>9181.7519249293055</v>
      </c>
      <c r="Q522" s="1119">
        <f t="shared" si="90"/>
        <v>0</v>
      </c>
      <c r="R522" s="1119">
        <f t="shared" si="90"/>
        <v>345.89956781619776</v>
      </c>
      <c r="S522" s="1119">
        <f t="shared" si="90"/>
        <v>8010.968330575537</v>
      </c>
      <c r="T522" s="1119">
        <f t="shared" si="90"/>
        <v>-1048.4001951113371</v>
      </c>
      <c r="U522" s="1119">
        <f t="shared" si="90"/>
        <v>-39.44199905776474</v>
      </c>
      <c r="V522" s="1119">
        <f t="shared" si="90"/>
        <v>-3261.161835119633</v>
      </c>
      <c r="W522" s="1119">
        <f t="shared" si="90"/>
        <v>257.31687201400973</v>
      </c>
      <c r="X522" s="978"/>
      <c r="Y522" s="1120">
        <f t="shared" si="95"/>
        <v>195904.82814789756</v>
      </c>
      <c r="Z522" s="1354"/>
      <c r="AA522" s="1001">
        <v>0.14928856831008935</v>
      </c>
      <c r="AB522" s="978"/>
      <c r="AC522" s="1036">
        <f t="shared" si="96"/>
        <v>0.14928856831008935</v>
      </c>
      <c r="AD522" s="783">
        <f t="shared" si="97"/>
        <v>0.14899999999999999</v>
      </c>
      <c r="AE522" s="1321"/>
      <c r="AF522" s="1322"/>
      <c r="AG522" s="740"/>
    </row>
    <row r="523" spans="1:33">
      <c r="A523" s="96">
        <v>301438</v>
      </c>
      <c r="B523" s="1286" t="s">
        <v>542</v>
      </c>
      <c r="C523" s="782">
        <f>'TAR_Tab 2_Volumina'!N526</f>
        <v>1</v>
      </c>
      <c r="D523" s="976"/>
      <c r="E523" s="1318">
        <v>196471.15296250849</v>
      </c>
      <c r="F523" s="1116">
        <f t="shared" si="91"/>
        <v>186961.94915912309</v>
      </c>
      <c r="G523" s="1116">
        <f t="shared" si="92"/>
        <v>191331.43790467209</v>
      </c>
      <c r="H523" s="976"/>
      <c r="I523" s="1117">
        <f t="shared" si="89"/>
        <v>181764.86600943847</v>
      </c>
      <c r="J523" s="1117">
        <f t="shared" si="89"/>
        <v>200898.0097999057</v>
      </c>
      <c r="K523" s="1320"/>
      <c r="L523" s="1000" t="str">
        <f t="shared" si="93"/>
        <v/>
      </c>
      <c r="M523" s="1118">
        <f t="shared" si="94"/>
        <v>191331.43790467209</v>
      </c>
      <c r="N523" s="976"/>
      <c r="O523" s="1119">
        <f t="shared" si="88"/>
        <v>-8873.542422820854</v>
      </c>
      <c r="P523" s="1119">
        <f t="shared" si="90"/>
        <v>9181.7519249293055</v>
      </c>
      <c r="Q523" s="1119">
        <f t="shared" si="90"/>
        <v>0</v>
      </c>
      <c r="R523" s="1119">
        <f t="shared" si="90"/>
        <v>345.89956781619776</v>
      </c>
      <c r="S523" s="1119">
        <f t="shared" si="90"/>
        <v>8010.968330575537</v>
      </c>
      <c r="T523" s="1119">
        <f t="shared" si="90"/>
        <v>-1048.4001951113371</v>
      </c>
      <c r="U523" s="1119">
        <f t="shared" si="90"/>
        <v>-39.44199905776474</v>
      </c>
      <c r="V523" s="1119">
        <f t="shared" si="90"/>
        <v>-3261.161835119633</v>
      </c>
      <c r="W523" s="1119">
        <f t="shared" si="90"/>
        <v>257.31687201400973</v>
      </c>
      <c r="X523" s="978"/>
      <c r="Y523" s="1120">
        <f t="shared" si="95"/>
        <v>195904.82814789756</v>
      </c>
      <c r="Z523" s="1354"/>
      <c r="AA523" s="1001">
        <v>0.23100574752380634</v>
      </c>
      <c r="AB523" s="978"/>
      <c r="AC523" s="1036">
        <f t="shared" si="96"/>
        <v>0.23100574752380634</v>
      </c>
      <c r="AD523" s="783">
        <f t="shared" si="97"/>
        <v>0.23100000000000001</v>
      </c>
      <c r="AE523" s="1321"/>
      <c r="AF523" s="1322"/>
      <c r="AG523" s="740"/>
    </row>
    <row r="524" spans="1:33">
      <c r="A524" s="96">
        <v>301439</v>
      </c>
      <c r="B524" s="1286" t="s">
        <v>543</v>
      </c>
      <c r="C524" s="782">
        <f>'TAR_Tab 2_Volumina'!N527</f>
        <v>1</v>
      </c>
      <c r="D524" s="976"/>
      <c r="E524" s="1318">
        <v>142888.11124546072</v>
      </c>
      <c r="F524" s="1116">
        <f t="shared" si="91"/>
        <v>135972.32666118041</v>
      </c>
      <c r="G524" s="1116">
        <f t="shared" si="92"/>
        <v>139150.13665794331</v>
      </c>
      <c r="H524" s="976"/>
      <c r="I524" s="1117">
        <f t="shared" si="89"/>
        <v>132192.62982504614</v>
      </c>
      <c r="J524" s="1117">
        <f t="shared" si="89"/>
        <v>146107.64349084048</v>
      </c>
      <c r="K524" s="1320"/>
      <c r="L524" s="1000" t="str">
        <f t="shared" si="93"/>
        <v/>
      </c>
      <c r="M524" s="1118">
        <f t="shared" si="94"/>
        <v>139150.13665794331</v>
      </c>
      <c r="N524" s="976"/>
      <c r="O524" s="1119">
        <f t="shared" si="88"/>
        <v>-6453.485398415165</v>
      </c>
      <c r="P524" s="1119">
        <f t="shared" si="90"/>
        <v>6677.6377635849485</v>
      </c>
      <c r="Q524" s="1119">
        <f t="shared" si="90"/>
        <v>0</v>
      </c>
      <c r="R524" s="1119">
        <f t="shared" si="90"/>
        <v>251.56332204814376</v>
      </c>
      <c r="S524" s="1119">
        <f t="shared" si="90"/>
        <v>5826.1587858731173</v>
      </c>
      <c r="T524" s="1119">
        <f t="shared" si="90"/>
        <v>-762.47286917188137</v>
      </c>
      <c r="U524" s="1119">
        <f t="shared" si="90"/>
        <v>-28.685090223828897</v>
      </c>
      <c r="V524" s="1119">
        <f t="shared" si="90"/>
        <v>-2371.7540619051874</v>
      </c>
      <c r="W524" s="1119">
        <f t="shared" si="90"/>
        <v>187.13954328291612</v>
      </c>
      <c r="X524" s="978"/>
      <c r="Y524" s="1120">
        <f t="shared" si="95"/>
        <v>142476.23865301636</v>
      </c>
      <c r="Z524" s="1354"/>
      <c r="AA524" s="1001">
        <v>8.4954443373596478E-2</v>
      </c>
      <c r="AB524" s="978"/>
      <c r="AC524" s="1036">
        <f t="shared" si="96"/>
        <v>8.4954443373596478E-2</v>
      </c>
      <c r="AD524" s="783">
        <f t="shared" si="97"/>
        <v>8.5000000000000006E-2</v>
      </c>
      <c r="AE524" s="1321"/>
      <c r="AF524" s="1322"/>
      <c r="AG524" s="740"/>
    </row>
    <row r="525" spans="1:33">
      <c r="A525" s="96">
        <v>301441</v>
      </c>
      <c r="B525" s="1286" t="s">
        <v>3</v>
      </c>
      <c r="C525" s="782">
        <f>'TAR_Tab 2_Volumina'!N528</f>
        <v>0</v>
      </c>
      <c r="D525" s="976"/>
      <c r="E525" s="1318">
        <v>0</v>
      </c>
      <c r="F525" s="1116">
        <f t="shared" si="91"/>
        <v>0</v>
      </c>
      <c r="G525" s="1116">
        <f t="shared" si="92"/>
        <v>0</v>
      </c>
      <c r="H525" s="976"/>
      <c r="I525" s="1117">
        <f t="shared" ref="I525:J556" si="98">$G525*I$5</f>
        <v>0</v>
      </c>
      <c r="J525" s="1117">
        <f t="shared" si="98"/>
        <v>0</v>
      </c>
      <c r="K525" s="1320"/>
      <c r="L525" s="1000" t="str">
        <f t="shared" si="93"/>
        <v/>
      </c>
      <c r="M525" s="1118">
        <f t="shared" si="94"/>
        <v>0</v>
      </c>
      <c r="N525" s="976"/>
      <c r="O525" s="1119">
        <f t="shared" si="88"/>
        <v>0</v>
      </c>
      <c r="P525" s="1119">
        <f t="shared" si="90"/>
        <v>0</v>
      </c>
      <c r="Q525" s="1119">
        <f t="shared" si="90"/>
        <v>0</v>
      </c>
      <c r="R525" s="1119">
        <f t="shared" si="90"/>
        <v>0</v>
      </c>
      <c r="S525" s="1119">
        <f t="shared" si="90"/>
        <v>0</v>
      </c>
      <c r="T525" s="1119">
        <f t="shared" si="90"/>
        <v>0</v>
      </c>
      <c r="U525" s="1119">
        <f t="shared" si="90"/>
        <v>0</v>
      </c>
      <c r="V525" s="1119">
        <f t="shared" si="90"/>
        <v>0</v>
      </c>
      <c r="W525" s="1119">
        <f t="shared" si="90"/>
        <v>0</v>
      </c>
      <c r="X525" s="978"/>
      <c r="Y525" s="1120">
        <f t="shared" si="95"/>
        <v>0</v>
      </c>
      <c r="Z525" s="1354"/>
      <c r="AA525" s="1001">
        <v>0</v>
      </c>
      <c r="AB525" s="978"/>
      <c r="AC525" s="1036">
        <f t="shared" si="96"/>
        <v>0</v>
      </c>
      <c r="AD525" s="783">
        <f t="shared" si="97"/>
        <v>0</v>
      </c>
      <c r="AE525" s="1321"/>
      <c r="AF525" s="1322"/>
      <c r="AG525" s="740"/>
    </row>
    <row r="526" spans="1:33">
      <c r="A526" s="96">
        <v>301442</v>
      </c>
      <c r="B526" s="1286" t="s">
        <v>837</v>
      </c>
      <c r="C526" s="782">
        <f>'TAR_Tab 2_Volumina'!N529</f>
        <v>0</v>
      </c>
      <c r="D526" s="976"/>
      <c r="E526" s="1318">
        <v>0</v>
      </c>
      <c r="F526" s="1116">
        <f t="shared" si="91"/>
        <v>0</v>
      </c>
      <c r="G526" s="1116">
        <f t="shared" si="92"/>
        <v>0</v>
      </c>
      <c r="H526" s="976"/>
      <c r="I526" s="1117">
        <f t="shared" si="98"/>
        <v>0</v>
      </c>
      <c r="J526" s="1117">
        <f t="shared" si="98"/>
        <v>0</v>
      </c>
      <c r="K526" s="1320"/>
      <c r="L526" s="1000" t="str">
        <f t="shared" si="93"/>
        <v/>
      </c>
      <c r="M526" s="1118">
        <f t="shared" si="94"/>
        <v>0</v>
      </c>
      <c r="N526" s="976"/>
      <c r="O526" s="1119">
        <f t="shared" si="88"/>
        <v>0</v>
      </c>
      <c r="P526" s="1119">
        <f t="shared" si="90"/>
        <v>0</v>
      </c>
      <c r="Q526" s="1119">
        <f t="shared" si="90"/>
        <v>0</v>
      </c>
      <c r="R526" s="1119">
        <f t="shared" si="90"/>
        <v>0</v>
      </c>
      <c r="S526" s="1119">
        <f t="shared" si="90"/>
        <v>0</v>
      </c>
      <c r="T526" s="1119">
        <f t="shared" si="90"/>
        <v>0</v>
      </c>
      <c r="U526" s="1119">
        <f t="shared" si="90"/>
        <v>0</v>
      </c>
      <c r="V526" s="1119">
        <f t="shared" si="90"/>
        <v>0</v>
      </c>
      <c r="W526" s="1119">
        <f t="shared" si="90"/>
        <v>0</v>
      </c>
      <c r="X526" s="978"/>
      <c r="Y526" s="1120">
        <f t="shared" si="95"/>
        <v>0</v>
      </c>
      <c r="Z526" s="1354"/>
      <c r="AA526" s="1001">
        <v>0</v>
      </c>
      <c r="AB526" s="978"/>
      <c r="AC526" s="1036">
        <f t="shared" si="96"/>
        <v>0</v>
      </c>
      <c r="AD526" s="783">
        <f t="shared" si="97"/>
        <v>0</v>
      </c>
      <c r="AE526" s="1321"/>
      <c r="AF526" s="1322"/>
      <c r="AG526" s="740"/>
    </row>
    <row r="527" spans="1:33">
      <c r="A527" s="96">
        <v>301443</v>
      </c>
      <c r="B527" s="1286" t="s">
        <v>4</v>
      </c>
      <c r="C527" s="782">
        <f>'TAR_Tab 2_Volumina'!N530</f>
        <v>0</v>
      </c>
      <c r="D527" s="976"/>
      <c r="E527" s="1318">
        <v>0</v>
      </c>
      <c r="F527" s="1116">
        <f t="shared" si="91"/>
        <v>0</v>
      </c>
      <c r="G527" s="1116">
        <f t="shared" si="92"/>
        <v>0</v>
      </c>
      <c r="H527" s="976"/>
      <c r="I527" s="1117">
        <f t="shared" si="98"/>
        <v>0</v>
      </c>
      <c r="J527" s="1117">
        <f t="shared" si="98"/>
        <v>0</v>
      </c>
      <c r="K527" s="1320"/>
      <c r="L527" s="1000" t="str">
        <f t="shared" si="93"/>
        <v/>
      </c>
      <c r="M527" s="1118">
        <f t="shared" si="94"/>
        <v>0</v>
      </c>
      <c r="N527" s="976"/>
      <c r="O527" s="1119">
        <f t="shared" si="88"/>
        <v>0</v>
      </c>
      <c r="P527" s="1119">
        <f t="shared" si="90"/>
        <v>0</v>
      </c>
      <c r="Q527" s="1119">
        <f t="shared" si="90"/>
        <v>0</v>
      </c>
      <c r="R527" s="1119">
        <f t="shared" si="90"/>
        <v>0</v>
      </c>
      <c r="S527" s="1119">
        <f t="shared" si="90"/>
        <v>0</v>
      </c>
      <c r="T527" s="1119">
        <f t="shared" si="90"/>
        <v>0</v>
      </c>
      <c r="U527" s="1119">
        <f t="shared" si="90"/>
        <v>0</v>
      </c>
      <c r="V527" s="1119">
        <f t="shared" si="90"/>
        <v>0</v>
      </c>
      <c r="W527" s="1119">
        <f t="shared" si="90"/>
        <v>0</v>
      </c>
      <c r="X527" s="978"/>
      <c r="Y527" s="1120">
        <f t="shared" si="95"/>
        <v>0</v>
      </c>
      <c r="Z527" s="1354"/>
      <c r="AA527" s="1001">
        <v>0</v>
      </c>
      <c r="AB527" s="978"/>
      <c r="AC527" s="1036">
        <f t="shared" si="96"/>
        <v>0</v>
      </c>
      <c r="AD527" s="783">
        <f t="shared" si="97"/>
        <v>0</v>
      </c>
      <c r="AE527" s="1321"/>
      <c r="AF527" s="1322"/>
      <c r="AG527" s="740"/>
    </row>
    <row r="528" spans="1:33">
      <c r="A528" s="96">
        <v>301445</v>
      </c>
      <c r="B528" s="1286" t="s">
        <v>200</v>
      </c>
      <c r="C528" s="782">
        <f>'TAR_Tab 2_Volumina'!N531</f>
        <v>0</v>
      </c>
      <c r="D528" s="976"/>
      <c r="E528" s="1318">
        <v>0</v>
      </c>
      <c r="F528" s="1116">
        <f t="shared" si="91"/>
        <v>0</v>
      </c>
      <c r="G528" s="1116">
        <f t="shared" si="92"/>
        <v>0</v>
      </c>
      <c r="H528" s="976"/>
      <c r="I528" s="1117">
        <f t="shared" si="98"/>
        <v>0</v>
      </c>
      <c r="J528" s="1117">
        <f t="shared" si="98"/>
        <v>0</v>
      </c>
      <c r="K528" s="1320"/>
      <c r="L528" s="1000" t="str">
        <f t="shared" si="93"/>
        <v/>
      </c>
      <c r="M528" s="1118">
        <f t="shared" si="94"/>
        <v>0</v>
      </c>
      <c r="N528" s="976"/>
      <c r="O528" s="1119">
        <f t="shared" si="88"/>
        <v>0</v>
      </c>
      <c r="P528" s="1119">
        <f t="shared" si="90"/>
        <v>0</v>
      </c>
      <c r="Q528" s="1119">
        <f t="shared" si="90"/>
        <v>0</v>
      </c>
      <c r="R528" s="1119">
        <f t="shared" si="90"/>
        <v>0</v>
      </c>
      <c r="S528" s="1119">
        <f t="shared" si="90"/>
        <v>0</v>
      </c>
      <c r="T528" s="1119">
        <f t="shared" si="90"/>
        <v>0</v>
      </c>
      <c r="U528" s="1119">
        <f t="shared" si="90"/>
        <v>0</v>
      </c>
      <c r="V528" s="1119">
        <f t="shared" si="90"/>
        <v>0</v>
      </c>
      <c r="W528" s="1119">
        <f t="shared" si="90"/>
        <v>0</v>
      </c>
      <c r="X528" s="978"/>
      <c r="Y528" s="1120">
        <f t="shared" si="95"/>
        <v>0</v>
      </c>
      <c r="Z528" s="1354"/>
      <c r="AA528" s="1001">
        <v>0</v>
      </c>
      <c r="AB528" s="978"/>
      <c r="AC528" s="1036">
        <f t="shared" si="96"/>
        <v>0</v>
      </c>
      <c r="AD528" s="783">
        <f t="shared" si="97"/>
        <v>0</v>
      </c>
      <c r="AE528" s="1321"/>
      <c r="AF528" s="1322"/>
      <c r="AG528" s="740"/>
    </row>
    <row r="529" spans="1:33">
      <c r="A529" s="96">
        <v>301446</v>
      </c>
      <c r="B529" s="1286" t="s">
        <v>258</v>
      </c>
      <c r="C529" s="782">
        <f>'TAR_Tab 2_Volumina'!N532</f>
        <v>0</v>
      </c>
      <c r="D529" s="976"/>
      <c r="E529" s="1318">
        <v>0</v>
      </c>
      <c r="F529" s="1116">
        <f t="shared" si="91"/>
        <v>0</v>
      </c>
      <c r="G529" s="1116">
        <f t="shared" si="92"/>
        <v>0</v>
      </c>
      <c r="H529" s="976"/>
      <c r="I529" s="1117">
        <f t="shared" si="98"/>
        <v>0</v>
      </c>
      <c r="J529" s="1117">
        <f t="shared" si="98"/>
        <v>0</v>
      </c>
      <c r="K529" s="1320"/>
      <c r="L529" s="1000" t="str">
        <f t="shared" si="93"/>
        <v/>
      </c>
      <c r="M529" s="1118">
        <f t="shared" si="94"/>
        <v>0</v>
      </c>
      <c r="N529" s="976"/>
      <c r="O529" s="1119">
        <f t="shared" si="88"/>
        <v>0</v>
      </c>
      <c r="P529" s="1119">
        <f t="shared" si="90"/>
        <v>0</v>
      </c>
      <c r="Q529" s="1119">
        <f t="shared" si="90"/>
        <v>0</v>
      </c>
      <c r="R529" s="1119">
        <f t="shared" si="90"/>
        <v>0</v>
      </c>
      <c r="S529" s="1119">
        <f t="shared" si="90"/>
        <v>0</v>
      </c>
      <c r="T529" s="1119">
        <f t="shared" si="90"/>
        <v>0</v>
      </c>
      <c r="U529" s="1119">
        <f t="shared" si="90"/>
        <v>0</v>
      </c>
      <c r="V529" s="1119">
        <f t="shared" si="90"/>
        <v>0</v>
      </c>
      <c r="W529" s="1119">
        <f t="shared" si="90"/>
        <v>0</v>
      </c>
      <c r="X529" s="978"/>
      <c r="Y529" s="1120">
        <f t="shared" si="95"/>
        <v>0</v>
      </c>
      <c r="Z529" s="1354"/>
      <c r="AA529" s="1001">
        <v>0</v>
      </c>
      <c r="AB529" s="978"/>
      <c r="AC529" s="1036">
        <f t="shared" si="96"/>
        <v>0</v>
      </c>
      <c r="AD529" s="783">
        <f t="shared" si="97"/>
        <v>0</v>
      </c>
      <c r="AE529" s="1321"/>
      <c r="AF529" s="1322"/>
      <c r="AG529" s="740"/>
    </row>
    <row r="530" spans="1:33">
      <c r="A530" s="96">
        <v>301450</v>
      </c>
      <c r="B530" s="1286" t="s">
        <v>544</v>
      </c>
      <c r="C530" s="782">
        <f>'TAR_Tab 2_Volumina'!N533</f>
        <v>0</v>
      </c>
      <c r="D530" s="976"/>
      <c r="E530" s="1318">
        <v>0</v>
      </c>
      <c r="F530" s="1116">
        <f t="shared" si="91"/>
        <v>0</v>
      </c>
      <c r="G530" s="1116">
        <f t="shared" si="92"/>
        <v>0</v>
      </c>
      <c r="H530" s="976"/>
      <c r="I530" s="1117">
        <f t="shared" si="98"/>
        <v>0</v>
      </c>
      <c r="J530" s="1117">
        <f t="shared" si="98"/>
        <v>0</v>
      </c>
      <c r="K530" s="1320"/>
      <c r="L530" s="1000" t="str">
        <f t="shared" si="93"/>
        <v/>
      </c>
      <c r="M530" s="1118">
        <f t="shared" si="94"/>
        <v>0</v>
      </c>
      <c r="N530" s="976"/>
      <c r="O530" s="1119">
        <f t="shared" si="88"/>
        <v>0</v>
      </c>
      <c r="P530" s="1119">
        <f t="shared" si="90"/>
        <v>0</v>
      </c>
      <c r="Q530" s="1119">
        <f t="shared" si="90"/>
        <v>0</v>
      </c>
      <c r="R530" s="1119">
        <f t="shared" si="90"/>
        <v>0</v>
      </c>
      <c r="S530" s="1119">
        <f t="shared" si="90"/>
        <v>0</v>
      </c>
      <c r="T530" s="1119">
        <f t="shared" si="90"/>
        <v>0</v>
      </c>
      <c r="U530" s="1119">
        <f t="shared" si="90"/>
        <v>0</v>
      </c>
      <c r="V530" s="1119">
        <f t="shared" si="90"/>
        <v>0</v>
      </c>
      <c r="W530" s="1119">
        <f t="shared" si="90"/>
        <v>0</v>
      </c>
      <c r="X530" s="978"/>
      <c r="Y530" s="1120">
        <f t="shared" si="95"/>
        <v>0</v>
      </c>
      <c r="Z530" s="1354"/>
      <c r="AA530" s="1001">
        <v>0</v>
      </c>
      <c r="AB530" s="978"/>
      <c r="AC530" s="1036">
        <f t="shared" si="96"/>
        <v>0</v>
      </c>
      <c r="AD530" s="783">
        <f t="shared" si="97"/>
        <v>0</v>
      </c>
      <c r="AE530" s="1321"/>
      <c r="AF530" s="1322"/>
      <c r="AG530" s="740"/>
    </row>
    <row r="531" spans="1:33">
      <c r="A531" s="96">
        <v>301451</v>
      </c>
      <c r="B531" s="1286" t="s">
        <v>545</v>
      </c>
      <c r="C531" s="782">
        <f>'TAR_Tab 2_Volumina'!N534</f>
        <v>0</v>
      </c>
      <c r="D531" s="976"/>
      <c r="E531" s="1318">
        <v>0</v>
      </c>
      <c r="F531" s="1116">
        <f t="shared" si="91"/>
        <v>0</v>
      </c>
      <c r="G531" s="1116">
        <f t="shared" si="92"/>
        <v>0</v>
      </c>
      <c r="H531" s="976"/>
      <c r="I531" s="1117">
        <f t="shared" si="98"/>
        <v>0</v>
      </c>
      <c r="J531" s="1117">
        <f t="shared" si="98"/>
        <v>0</v>
      </c>
      <c r="K531" s="1320"/>
      <c r="L531" s="1000" t="str">
        <f t="shared" si="93"/>
        <v/>
      </c>
      <c r="M531" s="1118">
        <f t="shared" si="94"/>
        <v>0</v>
      </c>
      <c r="N531" s="976"/>
      <c r="O531" s="1119">
        <f t="shared" si="88"/>
        <v>0</v>
      </c>
      <c r="P531" s="1119">
        <f t="shared" si="90"/>
        <v>0</v>
      </c>
      <c r="Q531" s="1119">
        <f t="shared" si="90"/>
        <v>0</v>
      </c>
      <c r="R531" s="1119">
        <f t="shared" si="90"/>
        <v>0</v>
      </c>
      <c r="S531" s="1119">
        <f t="shared" si="90"/>
        <v>0</v>
      </c>
      <c r="T531" s="1119">
        <f t="shared" si="90"/>
        <v>0</v>
      </c>
      <c r="U531" s="1119">
        <f t="shared" si="90"/>
        <v>0</v>
      </c>
      <c r="V531" s="1119">
        <f t="shared" si="90"/>
        <v>0</v>
      </c>
      <c r="W531" s="1119">
        <f t="shared" si="90"/>
        <v>0</v>
      </c>
      <c r="X531" s="978"/>
      <c r="Y531" s="1120">
        <f t="shared" si="95"/>
        <v>0</v>
      </c>
      <c r="Z531" s="1354"/>
      <c r="AA531" s="1001">
        <v>0</v>
      </c>
      <c r="AB531" s="978"/>
      <c r="AC531" s="1036">
        <f t="shared" si="96"/>
        <v>0</v>
      </c>
      <c r="AD531" s="783">
        <f t="shared" si="97"/>
        <v>0</v>
      </c>
      <c r="AE531" s="1321"/>
      <c r="AF531" s="1322"/>
      <c r="AG531" s="740"/>
    </row>
    <row r="532" spans="1:33">
      <c r="A532" s="96">
        <v>301453</v>
      </c>
      <c r="B532" s="1286" t="s">
        <v>546</v>
      </c>
      <c r="C532" s="782">
        <f>'TAR_Tab 2_Volumina'!N535</f>
        <v>0</v>
      </c>
      <c r="D532" s="976"/>
      <c r="E532" s="1318">
        <v>0</v>
      </c>
      <c r="F532" s="1116">
        <f t="shared" si="91"/>
        <v>0</v>
      </c>
      <c r="G532" s="1116">
        <f t="shared" si="92"/>
        <v>0</v>
      </c>
      <c r="H532" s="976"/>
      <c r="I532" s="1117">
        <f t="shared" si="98"/>
        <v>0</v>
      </c>
      <c r="J532" s="1117">
        <f t="shared" si="98"/>
        <v>0</v>
      </c>
      <c r="K532" s="1320"/>
      <c r="L532" s="1000" t="str">
        <f t="shared" si="93"/>
        <v/>
      </c>
      <c r="M532" s="1118">
        <f t="shared" si="94"/>
        <v>0</v>
      </c>
      <c r="N532" s="976"/>
      <c r="O532" s="1119">
        <f t="shared" si="88"/>
        <v>0</v>
      </c>
      <c r="P532" s="1119">
        <f t="shared" si="90"/>
        <v>0</v>
      </c>
      <c r="Q532" s="1119">
        <f t="shared" si="90"/>
        <v>0</v>
      </c>
      <c r="R532" s="1119">
        <f t="shared" si="90"/>
        <v>0</v>
      </c>
      <c r="S532" s="1119">
        <f t="shared" si="90"/>
        <v>0</v>
      </c>
      <c r="T532" s="1119">
        <f t="shared" si="90"/>
        <v>0</v>
      </c>
      <c r="U532" s="1119">
        <f t="shared" si="90"/>
        <v>0</v>
      </c>
      <c r="V532" s="1119">
        <f t="shared" si="90"/>
        <v>0</v>
      </c>
      <c r="W532" s="1119">
        <f t="shared" si="90"/>
        <v>0</v>
      </c>
      <c r="X532" s="978"/>
      <c r="Y532" s="1120">
        <f t="shared" si="95"/>
        <v>0</v>
      </c>
      <c r="Z532" s="1354"/>
      <c r="AA532" s="1001">
        <v>0</v>
      </c>
      <c r="AB532" s="978"/>
      <c r="AC532" s="1036">
        <f t="shared" si="96"/>
        <v>0</v>
      </c>
      <c r="AD532" s="783">
        <f t="shared" si="97"/>
        <v>0</v>
      </c>
      <c r="AE532" s="1321"/>
      <c r="AF532" s="1322"/>
      <c r="AG532" s="740"/>
    </row>
    <row r="533" spans="1:33">
      <c r="A533" s="96">
        <v>301455</v>
      </c>
      <c r="B533" s="1286" t="s">
        <v>643</v>
      </c>
      <c r="C533" s="782">
        <f>'TAR_Tab 2_Volumina'!N536</f>
        <v>1</v>
      </c>
      <c r="D533" s="976"/>
      <c r="E533" s="1318">
        <v>17861.01390568259</v>
      </c>
      <c r="F533" s="1116">
        <f t="shared" si="91"/>
        <v>16996.540832647552</v>
      </c>
      <c r="G533" s="1116">
        <f t="shared" si="92"/>
        <v>17393.767082242914</v>
      </c>
      <c r="H533" s="976"/>
      <c r="I533" s="1117">
        <f t="shared" si="98"/>
        <v>16524.078728130768</v>
      </c>
      <c r="J533" s="1117">
        <f t="shared" si="98"/>
        <v>18263.45543635506</v>
      </c>
      <c r="K533" s="1320"/>
      <c r="L533" s="1000" t="str">
        <f t="shared" si="93"/>
        <v/>
      </c>
      <c r="M533" s="1118">
        <f t="shared" si="94"/>
        <v>17393.767082242914</v>
      </c>
      <c r="N533" s="976"/>
      <c r="O533" s="1119">
        <f t="shared" si="88"/>
        <v>-806.68567480189563</v>
      </c>
      <c r="P533" s="1119">
        <f t="shared" si="90"/>
        <v>834.70472044811856</v>
      </c>
      <c r="Q533" s="1119">
        <f t="shared" si="90"/>
        <v>0</v>
      </c>
      <c r="R533" s="1119">
        <f t="shared" si="90"/>
        <v>31.44541525601797</v>
      </c>
      <c r="S533" s="1119">
        <f t="shared" si="90"/>
        <v>728.26984823413966</v>
      </c>
      <c r="T533" s="1119">
        <f t="shared" si="90"/>
        <v>-95.309108646485171</v>
      </c>
      <c r="U533" s="1119">
        <f t="shared" si="90"/>
        <v>-3.5856362779786122</v>
      </c>
      <c r="V533" s="1119">
        <f t="shared" si="90"/>
        <v>-296.46925773814843</v>
      </c>
      <c r="W533" s="1119">
        <f t="shared" si="90"/>
        <v>23.392442910364515</v>
      </c>
      <c r="X533" s="978"/>
      <c r="Y533" s="1120">
        <f t="shared" si="95"/>
        <v>17809.529831627045</v>
      </c>
      <c r="Z533" s="1354"/>
      <c r="AA533" s="1001">
        <v>0.84229467104687816</v>
      </c>
      <c r="AB533" s="978"/>
      <c r="AC533" s="1036">
        <f t="shared" si="96"/>
        <v>0.84229467104687816</v>
      </c>
      <c r="AD533" s="783">
        <f t="shared" si="97"/>
        <v>0.84199999999999997</v>
      </c>
      <c r="AE533" s="1321"/>
      <c r="AF533" s="1322"/>
      <c r="AG533" s="740"/>
    </row>
    <row r="534" spans="1:33">
      <c r="A534" s="96">
        <v>301456</v>
      </c>
      <c r="B534" s="1286" t="s">
        <v>644</v>
      </c>
      <c r="C534" s="782">
        <f>'TAR_Tab 2_Volumina'!N537</f>
        <v>1</v>
      </c>
      <c r="D534" s="976"/>
      <c r="E534" s="1318">
        <v>89305.069528412947</v>
      </c>
      <c r="F534" s="1116">
        <f t="shared" si="91"/>
        <v>84982.704163237766</v>
      </c>
      <c r="G534" s="1116">
        <f t="shared" si="92"/>
        <v>86968.835411214575</v>
      </c>
      <c r="H534" s="976"/>
      <c r="I534" s="1117">
        <f t="shared" si="98"/>
        <v>82620.393640653841</v>
      </c>
      <c r="J534" s="1117">
        <f t="shared" si="98"/>
        <v>91317.277181775309</v>
      </c>
      <c r="K534" s="1320"/>
      <c r="L534" s="1000" t="str">
        <f t="shared" si="93"/>
        <v/>
      </c>
      <c r="M534" s="1118">
        <f t="shared" si="94"/>
        <v>86968.835411214575</v>
      </c>
      <c r="N534" s="976"/>
      <c r="O534" s="1119">
        <f t="shared" si="88"/>
        <v>-4033.4283740094784</v>
      </c>
      <c r="P534" s="1119">
        <f t="shared" si="90"/>
        <v>4173.5236022405934</v>
      </c>
      <c r="Q534" s="1119">
        <f t="shared" si="90"/>
        <v>0</v>
      </c>
      <c r="R534" s="1119">
        <f t="shared" si="90"/>
        <v>157.22707628008988</v>
      </c>
      <c r="S534" s="1119">
        <f t="shared" si="90"/>
        <v>3641.3492411706984</v>
      </c>
      <c r="T534" s="1119">
        <f t="shared" si="90"/>
        <v>-476.54554323242587</v>
      </c>
      <c r="U534" s="1119">
        <f t="shared" si="90"/>
        <v>-17.928181389893062</v>
      </c>
      <c r="V534" s="1119">
        <f t="shared" si="90"/>
        <v>-1482.3462886907421</v>
      </c>
      <c r="W534" s="1119">
        <f t="shared" si="90"/>
        <v>116.96221455182258</v>
      </c>
      <c r="X534" s="978"/>
      <c r="Y534" s="1120">
        <f t="shared" si="95"/>
        <v>89047.649158135246</v>
      </c>
      <c r="Z534" s="1354"/>
      <c r="AA534" s="1001">
        <v>7.0888158458258993E-2</v>
      </c>
      <c r="AB534" s="978"/>
      <c r="AC534" s="1036">
        <f t="shared" si="96"/>
        <v>7.0888158458258993E-2</v>
      </c>
      <c r="AD534" s="783">
        <f t="shared" si="97"/>
        <v>7.0999999999999994E-2</v>
      </c>
      <c r="AE534" s="1321"/>
      <c r="AF534" s="1322"/>
      <c r="AG534" s="740"/>
    </row>
    <row r="535" spans="1:33">
      <c r="A535" s="96">
        <v>301457</v>
      </c>
      <c r="B535" s="1286" t="s">
        <v>645</v>
      </c>
      <c r="C535" s="782">
        <f>'TAR_Tab 2_Volumina'!N538</f>
        <v>1</v>
      </c>
      <c r="D535" s="976"/>
      <c r="E535" s="1318">
        <v>142888.11124546072</v>
      </c>
      <c r="F535" s="1116">
        <f t="shared" si="91"/>
        <v>135972.32666118041</v>
      </c>
      <c r="G535" s="1116">
        <f t="shared" si="92"/>
        <v>139150.13665794331</v>
      </c>
      <c r="H535" s="976"/>
      <c r="I535" s="1117">
        <f t="shared" si="98"/>
        <v>132192.62982504614</v>
      </c>
      <c r="J535" s="1117">
        <f t="shared" si="98"/>
        <v>146107.64349084048</v>
      </c>
      <c r="K535" s="1320"/>
      <c r="L535" s="1000" t="str">
        <f t="shared" si="93"/>
        <v/>
      </c>
      <c r="M535" s="1118">
        <f t="shared" si="94"/>
        <v>139150.13665794331</v>
      </c>
      <c r="N535" s="976"/>
      <c r="O535" s="1119">
        <f t="shared" si="88"/>
        <v>-6453.485398415165</v>
      </c>
      <c r="P535" s="1119">
        <f t="shared" si="90"/>
        <v>6677.6377635849485</v>
      </c>
      <c r="Q535" s="1119">
        <f t="shared" si="90"/>
        <v>0</v>
      </c>
      <c r="R535" s="1119">
        <f t="shared" si="90"/>
        <v>251.56332204814376</v>
      </c>
      <c r="S535" s="1119">
        <f t="shared" si="90"/>
        <v>5826.1587858731173</v>
      </c>
      <c r="T535" s="1119">
        <f t="shared" si="90"/>
        <v>-762.47286917188137</v>
      </c>
      <c r="U535" s="1119">
        <f t="shared" si="90"/>
        <v>-28.685090223828897</v>
      </c>
      <c r="V535" s="1119">
        <f t="shared" si="90"/>
        <v>-2371.7540619051874</v>
      </c>
      <c r="W535" s="1119">
        <f t="shared" si="90"/>
        <v>187.13954328291612</v>
      </c>
      <c r="X535" s="978"/>
      <c r="Y535" s="1120">
        <f t="shared" si="95"/>
        <v>142476.23865301636</v>
      </c>
      <c r="Z535" s="1354"/>
      <c r="AA535" s="1001">
        <v>7.3510993410657574E-2</v>
      </c>
      <c r="AB535" s="978"/>
      <c r="AC535" s="1036">
        <f t="shared" si="96"/>
        <v>7.3510993410657574E-2</v>
      </c>
      <c r="AD535" s="783">
        <f t="shared" si="97"/>
        <v>7.3999999999999996E-2</v>
      </c>
      <c r="AE535" s="1321"/>
      <c r="AF535" s="1322"/>
      <c r="AG535" s="740"/>
    </row>
    <row r="536" spans="1:33">
      <c r="A536" s="96">
        <v>301460</v>
      </c>
      <c r="B536" s="1286" t="s">
        <v>415</v>
      </c>
      <c r="C536" s="782">
        <f>'TAR_Tab 2_Volumina'!N539</f>
        <v>0</v>
      </c>
      <c r="D536" s="976"/>
      <c r="E536" s="1318">
        <v>0</v>
      </c>
      <c r="F536" s="1116">
        <f t="shared" si="91"/>
        <v>0</v>
      </c>
      <c r="G536" s="1116">
        <f t="shared" si="92"/>
        <v>0</v>
      </c>
      <c r="H536" s="976"/>
      <c r="I536" s="1117">
        <f t="shared" si="98"/>
        <v>0</v>
      </c>
      <c r="J536" s="1117">
        <f t="shared" si="98"/>
        <v>0</v>
      </c>
      <c r="K536" s="1320"/>
      <c r="L536" s="1000" t="str">
        <f t="shared" si="93"/>
        <v/>
      </c>
      <c r="M536" s="1118">
        <f t="shared" si="94"/>
        <v>0</v>
      </c>
      <c r="N536" s="976"/>
      <c r="O536" s="1119">
        <f t="shared" si="88"/>
        <v>0</v>
      </c>
      <c r="P536" s="1119">
        <f t="shared" si="90"/>
        <v>0</v>
      </c>
      <c r="Q536" s="1119">
        <f t="shared" si="90"/>
        <v>0</v>
      </c>
      <c r="R536" s="1119">
        <f t="shared" si="90"/>
        <v>0</v>
      </c>
      <c r="S536" s="1119">
        <f t="shared" si="90"/>
        <v>0</v>
      </c>
      <c r="T536" s="1119">
        <f t="shared" si="90"/>
        <v>0</v>
      </c>
      <c r="U536" s="1119">
        <f t="shared" si="90"/>
        <v>0</v>
      </c>
      <c r="V536" s="1119">
        <f t="shared" si="90"/>
        <v>0</v>
      </c>
      <c r="W536" s="1119">
        <f t="shared" si="90"/>
        <v>0</v>
      </c>
      <c r="X536" s="978"/>
      <c r="Y536" s="1120">
        <f t="shared" si="95"/>
        <v>0</v>
      </c>
      <c r="Z536" s="1354"/>
      <c r="AA536" s="1001">
        <v>0</v>
      </c>
      <c r="AB536" s="978"/>
      <c r="AC536" s="1036">
        <f t="shared" si="96"/>
        <v>0</v>
      </c>
      <c r="AD536" s="783">
        <f t="shared" si="97"/>
        <v>0</v>
      </c>
      <c r="AE536" s="1321"/>
      <c r="AF536" s="1322"/>
      <c r="AG536" s="740"/>
    </row>
    <row r="537" spans="1:33">
      <c r="A537" s="96">
        <v>301461</v>
      </c>
      <c r="B537" s="1286" t="s">
        <v>1159</v>
      </c>
      <c r="C537" s="782">
        <f>'TAR_Tab 2_Volumina'!N540</f>
        <v>0</v>
      </c>
      <c r="D537" s="976"/>
      <c r="E537" s="1318">
        <v>0</v>
      </c>
      <c r="F537" s="1116">
        <f t="shared" si="91"/>
        <v>0</v>
      </c>
      <c r="G537" s="1116">
        <f t="shared" si="92"/>
        <v>0</v>
      </c>
      <c r="H537" s="976"/>
      <c r="I537" s="1117">
        <f t="shared" si="98"/>
        <v>0</v>
      </c>
      <c r="J537" s="1117">
        <f t="shared" si="98"/>
        <v>0</v>
      </c>
      <c r="K537" s="1320"/>
      <c r="L537" s="1000" t="str">
        <f t="shared" si="93"/>
        <v/>
      </c>
      <c r="M537" s="1118">
        <f t="shared" si="94"/>
        <v>0</v>
      </c>
      <c r="N537" s="976"/>
      <c r="O537" s="1119">
        <f t="shared" si="88"/>
        <v>0</v>
      </c>
      <c r="P537" s="1119">
        <f t="shared" si="90"/>
        <v>0</v>
      </c>
      <c r="Q537" s="1119">
        <f t="shared" si="90"/>
        <v>0</v>
      </c>
      <c r="R537" s="1119">
        <f t="shared" si="90"/>
        <v>0</v>
      </c>
      <c r="S537" s="1119">
        <f t="shared" si="90"/>
        <v>0</v>
      </c>
      <c r="T537" s="1119">
        <f t="shared" si="90"/>
        <v>0</v>
      </c>
      <c r="U537" s="1119">
        <f t="shared" si="90"/>
        <v>0</v>
      </c>
      <c r="V537" s="1119">
        <f t="shared" si="90"/>
        <v>0</v>
      </c>
      <c r="W537" s="1119">
        <f t="shared" si="90"/>
        <v>0</v>
      </c>
      <c r="X537" s="978"/>
      <c r="Y537" s="1120">
        <f t="shared" si="95"/>
        <v>0</v>
      </c>
      <c r="Z537" s="1354"/>
      <c r="AA537" s="1001">
        <v>0</v>
      </c>
      <c r="AB537" s="978"/>
      <c r="AC537" s="1036">
        <f t="shared" si="96"/>
        <v>0</v>
      </c>
      <c r="AD537" s="783">
        <f t="shared" si="97"/>
        <v>0</v>
      </c>
      <c r="AE537" s="1321"/>
      <c r="AF537" s="1322"/>
      <c r="AG537" s="740"/>
    </row>
    <row r="538" spans="1:33">
      <c r="A538" s="96">
        <v>301464</v>
      </c>
      <c r="B538" s="1286" t="s">
        <v>838</v>
      </c>
      <c r="C538" s="782">
        <f>'TAR_Tab 2_Volumina'!N541</f>
        <v>1</v>
      </c>
      <c r="D538" s="976"/>
      <c r="E538" s="1318">
        <v>35722.02781136518</v>
      </c>
      <c r="F538" s="1116">
        <f t="shared" si="91"/>
        <v>33993.081665295103</v>
      </c>
      <c r="G538" s="1116">
        <f t="shared" si="92"/>
        <v>34787.534164485827</v>
      </c>
      <c r="H538" s="976"/>
      <c r="I538" s="1117">
        <f t="shared" si="98"/>
        <v>33048.157456261535</v>
      </c>
      <c r="J538" s="1117">
        <f t="shared" si="98"/>
        <v>36526.910872710119</v>
      </c>
      <c r="K538" s="1320"/>
      <c r="L538" s="1000" t="str">
        <f t="shared" si="93"/>
        <v/>
      </c>
      <c r="M538" s="1118">
        <f t="shared" si="94"/>
        <v>34787.534164485827</v>
      </c>
      <c r="N538" s="976"/>
      <c r="O538" s="1119">
        <f t="shared" si="88"/>
        <v>-1613.3713496037913</v>
      </c>
      <c r="P538" s="1119">
        <f t="shared" si="90"/>
        <v>1669.4094408962371</v>
      </c>
      <c r="Q538" s="1119">
        <f t="shared" si="90"/>
        <v>0</v>
      </c>
      <c r="R538" s="1119">
        <f t="shared" si="90"/>
        <v>62.89083051203594</v>
      </c>
      <c r="S538" s="1119">
        <f t="shared" si="90"/>
        <v>1456.5396964682793</v>
      </c>
      <c r="T538" s="1119">
        <f t="shared" si="90"/>
        <v>-190.61821729297034</v>
      </c>
      <c r="U538" s="1119">
        <f t="shared" si="90"/>
        <v>-7.1712725559572243</v>
      </c>
      <c r="V538" s="1119">
        <f t="shared" si="90"/>
        <v>-592.93851547629686</v>
      </c>
      <c r="W538" s="1119">
        <f t="shared" si="90"/>
        <v>46.784885820729031</v>
      </c>
      <c r="X538" s="978"/>
      <c r="Y538" s="1120">
        <f t="shared" si="95"/>
        <v>35619.059663254091</v>
      </c>
      <c r="Z538" s="1354"/>
      <c r="AA538" s="1001">
        <v>0.11704066700363475</v>
      </c>
      <c r="AB538" s="978"/>
      <c r="AC538" s="1036">
        <f t="shared" si="96"/>
        <v>0.11704066700363475</v>
      </c>
      <c r="AD538" s="783">
        <f t="shared" si="97"/>
        <v>0.11700000000000001</v>
      </c>
      <c r="AE538" s="1321"/>
      <c r="AF538" s="1322"/>
      <c r="AG538" s="740"/>
    </row>
    <row r="539" spans="1:33">
      <c r="A539" s="96">
        <v>301465</v>
      </c>
      <c r="B539" s="1286" t="s">
        <v>839</v>
      </c>
      <c r="C539" s="782">
        <f>'TAR_Tab 2_Volumina'!N542</f>
        <v>1</v>
      </c>
      <c r="D539" s="976"/>
      <c r="E539" s="1318">
        <v>71444.05562273036</v>
      </c>
      <c r="F539" s="1116">
        <f t="shared" si="91"/>
        <v>67986.163330590207</v>
      </c>
      <c r="G539" s="1116">
        <f t="shared" si="92"/>
        <v>69575.068328971654</v>
      </c>
      <c r="H539" s="976"/>
      <c r="I539" s="1117">
        <f t="shared" si="98"/>
        <v>66096.31491252307</v>
      </c>
      <c r="J539" s="1117">
        <f t="shared" si="98"/>
        <v>73053.821745420239</v>
      </c>
      <c r="K539" s="1320"/>
      <c r="L539" s="1000" t="str">
        <f t="shared" si="93"/>
        <v/>
      </c>
      <c r="M539" s="1118">
        <f t="shared" si="94"/>
        <v>69575.068328971654</v>
      </c>
      <c r="N539" s="976"/>
      <c r="O539" s="1119">
        <f t="shared" si="88"/>
        <v>-3226.7426992075825</v>
      </c>
      <c r="P539" s="1119">
        <f t="shared" si="90"/>
        <v>3338.8188817924743</v>
      </c>
      <c r="Q539" s="1119">
        <f t="shared" si="90"/>
        <v>0</v>
      </c>
      <c r="R539" s="1119">
        <f t="shared" si="90"/>
        <v>125.78166102407188</v>
      </c>
      <c r="S539" s="1119">
        <f t="shared" si="90"/>
        <v>2913.0793929365586</v>
      </c>
      <c r="T539" s="1119">
        <f t="shared" si="90"/>
        <v>-381.23643458594069</v>
      </c>
      <c r="U539" s="1119">
        <f t="shared" si="90"/>
        <v>-14.342545111914449</v>
      </c>
      <c r="V539" s="1119">
        <f t="shared" si="90"/>
        <v>-1185.8770309525937</v>
      </c>
      <c r="W539" s="1119">
        <f t="shared" si="90"/>
        <v>93.569771641458061</v>
      </c>
      <c r="X539" s="978"/>
      <c r="Y539" s="1120">
        <f t="shared" si="95"/>
        <v>71238.119326508182</v>
      </c>
      <c r="Z539" s="1354"/>
      <c r="AA539" s="1001">
        <v>0.11363505268424123</v>
      </c>
      <c r="AB539" s="978"/>
      <c r="AC539" s="1036">
        <f t="shared" si="96"/>
        <v>0.11363505268424123</v>
      </c>
      <c r="AD539" s="783">
        <f t="shared" si="97"/>
        <v>0.114</v>
      </c>
      <c r="AE539" s="1321"/>
      <c r="AF539" s="1322"/>
      <c r="AG539" s="740"/>
    </row>
    <row r="540" spans="1:33">
      <c r="A540" s="96">
        <v>301466</v>
      </c>
      <c r="B540" s="1286" t="s">
        <v>840</v>
      </c>
      <c r="C540" s="782">
        <f>'TAR_Tab 2_Volumina'!N543</f>
        <v>1</v>
      </c>
      <c r="D540" s="976"/>
      <c r="E540" s="1318">
        <v>71444.05562273036</v>
      </c>
      <c r="F540" s="1116">
        <f t="shared" si="91"/>
        <v>67986.163330590207</v>
      </c>
      <c r="G540" s="1116">
        <f t="shared" si="92"/>
        <v>69575.068328971654</v>
      </c>
      <c r="H540" s="976"/>
      <c r="I540" s="1117">
        <f t="shared" si="98"/>
        <v>66096.31491252307</v>
      </c>
      <c r="J540" s="1117">
        <f t="shared" si="98"/>
        <v>73053.821745420239</v>
      </c>
      <c r="K540" s="1320"/>
      <c r="L540" s="1000" t="str">
        <f t="shared" si="93"/>
        <v/>
      </c>
      <c r="M540" s="1118">
        <f t="shared" si="94"/>
        <v>69575.068328971654</v>
      </c>
      <c r="N540" s="976"/>
      <c r="O540" s="1119">
        <f t="shared" si="88"/>
        <v>-3226.7426992075825</v>
      </c>
      <c r="P540" s="1119">
        <f t="shared" si="90"/>
        <v>3338.8188817924743</v>
      </c>
      <c r="Q540" s="1119">
        <f t="shared" si="90"/>
        <v>0</v>
      </c>
      <c r="R540" s="1119">
        <f t="shared" si="90"/>
        <v>125.78166102407188</v>
      </c>
      <c r="S540" s="1119">
        <f t="shared" si="90"/>
        <v>2913.0793929365586</v>
      </c>
      <c r="T540" s="1119">
        <f t="shared" si="90"/>
        <v>-381.23643458594069</v>
      </c>
      <c r="U540" s="1119">
        <f t="shared" si="90"/>
        <v>-14.342545111914449</v>
      </c>
      <c r="V540" s="1119">
        <f t="shared" si="90"/>
        <v>-1185.8770309525937</v>
      </c>
      <c r="W540" s="1119">
        <f t="shared" si="90"/>
        <v>93.569771641458061</v>
      </c>
      <c r="X540" s="978"/>
      <c r="Y540" s="1120">
        <f t="shared" si="95"/>
        <v>71238.119326508182</v>
      </c>
      <c r="Z540" s="1354"/>
      <c r="AA540" s="1001">
        <v>0.21978911838216322</v>
      </c>
      <c r="AB540" s="978"/>
      <c r="AC540" s="1036">
        <f t="shared" si="96"/>
        <v>0.21978911838216322</v>
      </c>
      <c r="AD540" s="783">
        <f t="shared" si="97"/>
        <v>0.22</v>
      </c>
      <c r="AE540" s="1321"/>
      <c r="AF540" s="1322"/>
      <c r="AG540" s="740"/>
    </row>
    <row r="541" spans="1:33">
      <c r="A541" s="96">
        <v>301467</v>
      </c>
      <c r="B541" s="1286" t="s">
        <v>841</v>
      </c>
      <c r="C541" s="782">
        <f>'TAR_Tab 2_Volumina'!N544</f>
        <v>1</v>
      </c>
      <c r="D541" s="976"/>
      <c r="E541" s="1318">
        <v>71444.05562273036</v>
      </c>
      <c r="F541" s="1116">
        <f t="shared" si="91"/>
        <v>67986.163330590207</v>
      </c>
      <c r="G541" s="1116">
        <f t="shared" si="92"/>
        <v>69575.068328971654</v>
      </c>
      <c r="H541" s="976"/>
      <c r="I541" s="1117">
        <f t="shared" si="98"/>
        <v>66096.31491252307</v>
      </c>
      <c r="J541" s="1117">
        <f t="shared" si="98"/>
        <v>73053.821745420239</v>
      </c>
      <c r="K541" s="1320"/>
      <c r="L541" s="1000" t="str">
        <f t="shared" si="93"/>
        <v/>
      </c>
      <c r="M541" s="1118">
        <f t="shared" si="94"/>
        <v>69575.068328971654</v>
      </c>
      <c r="N541" s="976"/>
      <c r="O541" s="1119">
        <f t="shared" si="88"/>
        <v>-3226.7426992075825</v>
      </c>
      <c r="P541" s="1119">
        <f t="shared" si="90"/>
        <v>3338.8188817924743</v>
      </c>
      <c r="Q541" s="1119">
        <f t="shared" si="90"/>
        <v>0</v>
      </c>
      <c r="R541" s="1119">
        <f t="shared" si="90"/>
        <v>125.78166102407188</v>
      </c>
      <c r="S541" s="1119">
        <f t="shared" si="90"/>
        <v>2913.0793929365586</v>
      </c>
      <c r="T541" s="1119">
        <f t="shared" si="90"/>
        <v>-381.23643458594069</v>
      </c>
      <c r="U541" s="1119">
        <f t="shared" si="90"/>
        <v>-14.342545111914449</v>
      </c>
      <c r="V541" s="1119">
        <f t="shared" si="90"/>
        <v>-1185.8770309525937</v>
      </c>
      <c r="W541" s="1119">
        <f t="shared" si="90"/>
        <v>93.569771641458061</v>
      </c>
      <c r="X541" s="978"/>
      <c r="Y541" s="1120">
        <f t="shared" si="95"/>
        <v>71238.119326508182</v>
      </c>
      <c r="Z541" s="1354"/>
      <c r="AA541" s="1001">
        <v>0.11178888115740838</v>
      </c>
      <c r="AB541" s="978"/>
      <c r="AC541" s="1036">
        <f t="shared" si="96"/>
        <v>0.11178888115740838</v>
      </c>
      <c r="AD541" s="783">
        <f t="shared" si="97"/>
        <v>0.112</v>
      </c>
      <c r="AE541" s="1321"/>
      <c r="AF541" s="1322"/>
      <c r="AG541" s="740"/>
    </row>
    <row r="542" spans="1:33">
      <c r="A542" s="96">
        <v>301470</v>
      </c>
      <c r="B542" s="1286" t="s">
        <v>408</v>
      </c>
      <c r="C542" s="782">
        <f>'TAR_Tab 2_Volumina'!N545</f>
        <v>0</v>
      </c>
      <c r="D542" s="976"/>
      <c r="E542" s="1318">
        <v>0</v>
      </c>
      <c r="F542" s="1116">
        <f t="shared" si="91"/>
        <v>0</v>
      </c>
      <c r="G542" s="1116">
        <f t="shared" si="92"/>
        <v>0</v>
      </c>
      <c r="H542" s="976"/>
      <c r="I542" s="1117">
        <f t="shared" si="98"/>
        <v>0</v>
      </c>
      <c r="J542" s="1117">
        <f t="shared" si="98"/>
        <v>0</v>
      </c>
      <c r="K542" s="1320"/>
      <c r="L542" s="1000" t="str">
        <f t="shared" si="93"/>
        <v/>
      </c>
      <c r="M542" s="1118">
        <f t="shared" si="94"/>
        <v>0</v>
      </c>
      <c r="N542" s="976"/>
      <c r="O542" s="1119">
        <f t="shared" si="88"/>
        <v>0</v>
      </c>
      <c r="P542" s="1119">
        <f t="shared" si="90"/>
        <v>0</v>
      </c>
      <c r="Q542" s="1119">
        <f t="shared" si="90"/>
        <v>0</v>
      </c>
      <c r="R542" s="1119">
        <f t="shared" si="90"/>
        <v>0</v>
      </c>
      <c r="S542" s="1119">
        <f t="shared" si="90"/>
        <v>0</v>
      </c>
      <c r="T542" s="1119">
        <f t="shared" si="90"/>
        <v>0</v>
      </c>
      <c r="U542" s="1119">
        <f t="shared" si="90"/>
        <v>0</v>
      </c>
      <c r="V542" s="1119">
        <f t="shared" si="90"/>
        <v>0</v>
      </c>
      <c r="W542" s="1119">
        <f t="shared" si="90"/>
        <v>0</v>
      </c>
      <c r="X542" s="978"/>
      <c r="Y542" s="1120">
        <f t="shared" si="95"/>
        <v>0</v>
      </c>
      <c r="Z542" s="1354"/>
      <c r="AA542" s="1001">
        <v>0</v>
      </c>
      <c r="AB542" s="978"/>
      <c r="AC542" s="1036">
        <f t="shared" si="96"/>
        <v>0</v>
      </c>
      <c r="AD542" s="783">
        <f t="shared" si="97"/>
        <v>0</v>
      </c>
      <c r="AE542" s="1321"/>
      <c r="AF542" s="1322"/>
      <c r="AG542" s="740"/>
    </row>
    <row r="543" spans="1:33">
      <c r="A543" s="96">
        <v>301471</v>
      </c>
      <c r="B543" s="1286" t="s">
        <v>1207</v>
      </c>
      <c r="C543" s="782">
        <f>'TAR_Tab 2_Volumina'!N546</f>
        <v>1</v>
      </c>
      <c r="D543" s="976"/>
      <c r="E543" s="1318">
        <v>125027.09733977813</v>
      </c>
      <c r="F543" s="1116">
        <f t="shared" si="91"/>
        <v>118975.78582853287</v>
      </c>
      <c r="G543" s="1116">
        <f t="shared" si="92"/>
        <v>121756.3695757004</v>
      </c>
      <c r="H543" s="976"/>
      <c r="I543" s="1117">
        <f t="shared" si="98"/>
        <v>115668.55109691538</v>
      </c>
      <c r="J543" s="1117">
        <f t="shared" si="98"/>
        <v>127844.18805448542</v>
      </c>
      <c r="K543" s="1320"/>
      <c r="L543" s="1000" t="str">
        <f t="shared" si="93"/>
        <v/>
      </c>
      <c r="M543" s="1118">
        <f t="shared" si="94"/>
        <v>121756.3695757004</v>
      </c>
      <c r="N543" s="976"/>
      <c r="O543" s="1119">
        <f t="shared" si="88"/>
        <v>-5646.7997236132696</v>
      </c>
      <c r="P543" s="1119">
        <f t="shared" si="90"/>
        <v>5842.9330431368307</v>
      </c>
      <c r="Q543" s="1119">
        <f t="shared" si="90"/>
        <v>0</v>
      </c>
      <c r="R543" s="1119">
        <f t="shared" si="90"/>
        <v>220.11790679212581</v>
      </c>
      <c r="S543" s="1119">
        <f t="shared" si="90"/>
        <v>5097.8889376389779</v>
      </c>
      <c r="T543" s="1119">
        <f t="shared" si="90"/>
        <v>-667.16376052539624</v>
      </c>
      <c r="U543" s="1119">
        <f t="shared" si="90"/>
        <v>-25.099453945850289</v>
      </c>
      <c r="V543" s="1119">
        <f t="shared" si="90"/>
        <v>-2075.2848041670391</v>
      </c>
      <c r="W543" s="1119">
        <f t="shared" si="90"/>
        <v>163.74710037255161</v>
      </c>
      <c r="X543" s="978"/>
      <c r="Y543" s="1120">
        <f t="shared" si="95"/>
        <v>124666.70882138933</v>
      </c>
      <c r="Z543" s="1354"/>
      <c r="AA543" s="1001">
        <v>0.10963679003810661</v>
      </c>
      <c r="AB543" s="978"/>
      <c r="AC543" s="1036">
        <f t="shared" si="96"/>
        <v>0.10963679003810661</v>
      </c>
      <c r="AD543" s="783">
        <f t="shared" si="97"/>
        <v>0.11</v>
      </c>
      <c r="AE543" s="1321"/>
      <c r="AF543" s="1322"/>
      <c r="AG543" s="740"/>
    </row>
    <row r="544" spans="1:33">
      <c r="A544" s="96">
        <v>301472</v>
      </c>
      <c r="B544" s="1286" t="s">
        <v>1208</v>
      </c>
      <c r="C544" s="782">
        <f>'TAR_Tab 2_Volumina'!N547</f>
        <v>1</v>
      </c>
      <c r="D544" s="976"/>
      <c r="E544" s="1318">
        <v>214332.1668681911</v>
      </c>
      <c r="F544" s="1116">
        <f t="shared" si="91"/>
        <v>203958.48999177065</v>
      </c>
      <c r="G544" s="1116">
        <f t="shared" si="92"/>
        <v>208725.20498691499</v>
      </c>
      <c r="H544" s="976"/>
      <c r="I544" s="1117">
        <f t="shared" si="98"/>
        <v>198288.94473756923</v>
      </c>
      <c r="J544" s="1117">
        <f t="shared" si="98"/>
        <v>219161.46523626076</v>
      </c>
      <c r="K544" s="1320"/>
      <c r="L544" s="1000" t="str">
        <f t="shared" si="93"/>
        <v/>
      </c>
      <c r="M544" s="1118">
        <f t="shared" si="94"/>
        <v>208725.20498691499</v>
      </c>
      <c r="N544" s="976"/>
      <c r="O544" s="1119">
        <f t="shared" si="88"/>
        <v>-9680.2280976227485</v>
      </c>
      <c r="P544" s="1119">
        <f t="shared" si="90"/>
        <v>10016.456645377424</v>
      </c>
      <c r="Q544" s="1119">
        <f t="shared" si="90"/>
        <v>0</v>
      </c>
      <c r="R544" s="1119">
        <f t="shared" si="90"/>
        <v>377.34498307221571</v>
      </c>
      <c r="S544" s="1119">
        <f t="shared" si="90"/>
        <v>8739.2381788096773</v>
      </c>
      <c r="T544" s="1119">
        <f t="shared" si="90"/>
        <v>-1143.7093037578222</v>
      </c>
      <c r="U544" s="1119">
        <f t="shared" si="90"/>
        <v>-43.027635335743355</v>
      </c>
      <c r="V544" s="1119">
        <f t="shared" si="90"/>
        <v>-3557.6310928577814</v>
      </c>
      <c r="W544" s="1119">
        <f t="shared" si="90"/>
        <v>280.70931492437421</v>
      </c>
      <c r="X544" s="978"/>
      <c r="Y544" s="1120">
        <f t="shared" si="95"/>
        <v>213714.35797952459</v>
      </c>
      <c r="Z544" s="1354"/>
      <c r="AA544" s="1001">
        <v>9.6491042714726485E-2</v>
      </c>
      <c r="AB544" s="978"/>
      <c r="AC544" s="1036">
        <f t="shared" si="96"/>
        <v>9.6491042714726485E-2</v>
      </c>
      <c r="AD544" s="783">
        <f t="shared" si="97"/>
        <v>9.6000000000000002E-2</v>
      </c>
      <c r="AE544" s="1321"/>
      <c r="AF544" s="1322"/>
      <c r="AG544" s="740"/>
    </row>
    <row r="545" spans="1:33">
      <c r="A545" s="96">
        <v>301473</v>
      </c>
      <c r="B545" s="1286" t="s">
        <v>1209</v>
      </c>
      <c r="C545" s="782">
        <f>'TAR_Tab 2_Volumina'!N548</f>
        <v>1</v>
      </c>
      <c r="D545" s="976"/>
      <c r="E545" s="1318">
        <v>267915.2085852389</v>
      </c>
      <c r="F545" s="1116">
        <f t="shared" si="91"/>
        <v>254948.11248971333</v>
      </c>
      <c r="G545" s="1116">
        <f t="shared" si="92"/>
        <v>260906.50623364377</v>
      </c>
      <c r="H545" s="976"/>
      <c r="I545" s="1117">
        <f t="shared" si="98"/>
        <v>247861.18092196158</v>
      </c>
      <c r="J545" s="1117">
        <f t="shared" si="98"/>
        <v>273951.83154532599</v>
      </c>
      <c r="K545" s="1320"/>
      <c r="L545" s="1000" t="str">
        <f t="shared" si="93"/>
        <v/>
      </c>
      <c r="M545" s="1118">
        <f t="shared" si="94"/>
        <v>260906.50623364377</v>
      </c>
      <c r="N545" s="976"/>
      <c r="O545" s="1119">
        <f t="shared" si="88"/>
        <v>-12100.285122028437</v>
      </c>
      <c r="P545" s="1119">
        <f t="shared" si="90"/>
        <v>12520.570806721782</v>
      </c>
      <c r="Q545" s="1119">
        <f t="shared" si="90"/>
        <v>0</v>
      </c>
      <c r="R545" s="1119">
        <f t="shared" si="90"/>
        <v>471.68122884026968</v>
      </c>
      <c r="S545" s="1119">
        <f t="shared" si="90"/>
        <v>10924.047723512096</v>
      </c>
      <c r="T545" s="1119">
        <f t="shared" si="90"/>
        <v>-1429.6366296972778</v>
      </c>
      <c r="U545" s="1119">
        <f t="shared" si="90"/>
        <v>-53.784544169679201</v>
      </c>
      <c r="V545" s="1119">
        <f t="shared" si="90"/>
        <v>-4447.0388660722274</v>
      </c>
      <c r="W545" s="1119">
        <f t="shared" si="90"/>
        <v>350.88664365546782</v>
      </c>
      <c r="X545" s="978"/>
      <c r="Y545" s="1120">
        <f t="shared" si="95"/>
        <v>267142.94747440575</v>
      </c>
      <c r="Z545" s="1354"/>
      <c r="AA545" s="1001">
        <v>8.0783793519595679E-2</v>
      </c>
      <c r="AB545" s="978"/>
      <c r="AC545" s="1036">
        <f t="shared" si="96"/>
        <v>8.0783793519595679E-2</v>
      </c>
      <c r="AD545" s="783">
        <f t="shared" si="97"/>
        <v>8.1000000000000003E-2</v>
      </c>
      <c r="AE545" s="1321"/>
      <c r="AF545" s="1322"/>
      <c r="AG545" s="740"/>
    </row>
    <row r="546" spans="1:33">
      <c r="A546" s="96">
        <v>301474</v>
      </c>
      <c r="B546" s="1286" t="s">
        <v>1210</v>
      </c>
      <c r="C546" s="782">
        <f>'TAR_Tab 2_Volumina'!N549</f>
        <v>1</v>
      </c>
      <c r="D546" s="976"/>
      <c r="E546" s="1318">
        <v>160749.12515114332</v>
      </c>
      <c r="F546" s="1116">
        <f t="shared" si="91"/>
        <v>152968.86749382797</v>
      </c>
      <c r="G546" s="1116">
        <f t="shared" si="92"/>
        <v>156543.90374018624</v>
      </c>
      <c r="H546" s="976"/>
      <c r="I546" s="1117">
        <f t="shared" si="98"/>
        <v>148716.70855317693</v>
      </c>
      <c r="J546" s="1117">
        <f t="shared" si="98"/>
        <v>164371.09892719556</v>
      </c>
      <c r="K546" s="1320"/>
      <c r="L546" s="1000" t="str">
        <f t="shared" si="93"/>
        <v/>
      </c>
      <c r="M546" s="1118">
        <f t="shared" si="94"/>
        <v>156543.90374018624</v>
      </c>
      <c r="N546" s="976"/>
      <c r="O546" s="1119">
        <f t="shared" si="88"/>
        <v>-7260.1710732170613</v>
      </c>
      <c r="P546" s="1119">
        <f t="shared" si="90"/>
        <v>7512.3424840330681</v>
      </c>
      <c r="Q546" s="1119">
        <f t="shared" si="90"/>
        <v>0</v>
      </c>
      <c r="R546" s="1119">
        <f t="shared" si="90"/>
        <v>283.0087373041618</v>
      </c>
      <c r="S546" s="1119">
        <f t="shared" si="90"/>
        <v>6554.4286341072575</v>
      </c>
      <c r="T546" s="1119">
        <f t="shared" si="90"/>
        <v>-857.78197781836661</v>
      </c>
      <c r="U546" s="1119">
        <f t="shared" si="90"/>
        <v>-32.270726501807516</v>
      </c>
      <c r="V546" s="1119">
        <f t="shared" si="90"/>
        <v>-2668.2233196433363</v>
      </c>
      <c r="W546" s="1119">
        <f t="shared" si="90"/>
        <v>210.53198619328066</v>
      </c>
      <c r="X546" s="978"/>
      <c r="Y546" s="1120">
        <f t="shared" si="95"/>
        <v>160285.76848464343</v>
      </c>
      <c r="Z546" s="1354"/>
      <c r="AA546" s="1001">
        <v>0.18820001643640741</v>
      </c>
      <c r="AB546" s="978"/>
      <c r="AC546" s="1036">
        <f t="shared" si="96"/>
        <v>0.18820001643640741</v>
      </c>
      <c r="AD546" s="783">
        <f t="shared" si="97"/>
        <v>0.188</v>
      </c>
      <c r="AE546" s="1321"/>
      <c r="AF546" s="1322"/>
      <c r="AG546" s="740"/>
    </row>
    <row r="547" spans="1:33">
      <c r="A547" s="96">
        <v>301475</v>
      </c>
      <c r="B547" s="1286" t="s">
        <v>1211</v>
      </c>
      <c r="C547" s="782">
        <f>'TAR_Tab 2_Volumina'!N550</f>
        <v>1</v>
      </c>
      <c r="D547" s="976"/>
      <c r="E547" s="1318">
        <v>339359.26420796919</v>
      </c>
      <c r="F547" s="1116">
        <f t="shared" si="91"/>
        <v>322934.27582030348</v>
      </c>
      <c r="G547" s="1116">
        <f t="shared" si="92"/>
        <v>330481.57456261537</v>
      </c>
      <c r="H547" s="976"/>
      <c r="I547" s="1117">
        <f t="shared" si="98"/>
        <v>313957.49583448458</v>
      </c>
      <c r="J547" s="1117">
        <f t="shared" si="98"/>
        <v>347005.65329074615</v>
      </c>
      <c r="K547" s="1320"/>
      <c r="L547" s="1000" t="str">
        <f t="shared" si="93"/>
        <v/>
      </c>
      <c r="M547" s="1118">
        <f t="shared" si="94"/>
        <v>330481.57456261537</v>
      </c>
      <c r="N547" s="976"/>
      <c r="O547" s="1119">
        <f t="shared" si="88"/>
        <v>-15327.027821236017</v>
      </c>
      <c r="P547" s="1119">
        <f t="shared" si="90"/>
        <v>15859.389688514253</v>
      </c>
      <c r="Q547" s="1119">
        <f t="shared" si="90"/>
        <v>0</v>
      </c>
      <c r="R547" s="1119">
        <f t="shared" si="90"/>
        <v>597.46288986434149</v>
      </c>
      <c r="S547" s="1119">
        <f t="shared" si="90"/>
        <v>13837.127116448653</v>
      </c>
      <c r="T547" s="1119">
        <f t="shared" si="90"/>
        <v>-1810.8730642832181</v>
      </c>
      <c r="U547" s="1119">
        <f t="shared" si="90"/>
        <v>-68.127089281593641</v>
      </c>
      <c r="V547" s="1119">
        <f t="shared" si="90"/>
        <v>-5632.91589702482</v>
      </c>
      <c r="W547" s="1119">
        <f t="shared" si="90"/>
        <v>444.4564152969258</v>
      </c>
      <c r="X547" s="978"/>
      <c r="Y547" s="1120">
        <f t="shared" si="95"/>
        <v>338381.06680091389</v>
      </c>
      <c r="Z547" s="1354"/>
      <c r="AA547" s="1001">
        <v>0.25919551534108942</v>
      </c>
      <c r="AB547" s="978"/>
      <c r="AC547" s="1036">
        <f t="shared" si="96"/>
        <v>0.25919551534108942</v>
      </c>
      <c r="AD547" s="783">
        <f t="shared" si="97"/>
        <v>0.25900000000000001</v>
      </c>
      <c r="AE547" s="1321"/>
      <c r="AF547" s="1322"/>
      <c r="AG547" s="740"/>
    </row>
    <row r="548" spans="1:33">
      <c r="A548" s="96">
        <v>301476</v>
      </c>
      <c r="B548" s="1286" t="s">
        <v>1212</v>
      </c>
      <c r="C548" s="782">
        <f>'TAR_Tab 2_Volumina'!N551</f>
        <v>1</v>
      </c>
      <c r="D548" s="976"/>
      <c r="E548" s="1318">
        <v>17861.01390568259</v>
      </c>
      <c r="F548" s="1116">
        <f t="shared" si="91"/>
        <v>16996.540832647552</v>
      </c>
      <c r="G548" s="1116">
        <f t="shared" si="92"/>
        <v>17393.767082242914</v>
      </c>
      <c r="H548" s="976"/>
      <c r="I548" s="1117">
        <f t="shared" si="98"/>
        <v>16524.078728130768</v>
      </c>
      <c r="J548" s="1117">
        <f t="shared" si="98"/>
        <v>18263.45543635506</v>
      </c>
      <c r="K548" s="1320"/>
      <c r="L548" s="1000" t="str">
        <f t="shared" si="93"/>
        <v/>
      </c>
      <c r="M548" s="1118">
        <f t="shared" si="94"/>
        <v>17393.767082242914</v>
      </c>
      <c r="N548" s="976"/>
      <c r="O548" s="1119">
        <f t="shared" si="88"/>
        <v>-806.68567480189563</v>
      </c>
      <c r="P548" s="1119">
        <f t="shared" si="90"/>
        <v>834.70472044811856</v>
      </c>
      <c r="Q548" s="1119">
        <f t="shared" si="90"/>
        <v>0</v>
      </c>
      <c r="R548" s="1119">
        <f t="shared" si="90"/>
        <v>31.44541525601797</v>
      </c>
      <c r="S548" s="1119">
        <f t="shared" si="90"/>
        <v>728.26984823413966</v>
      </c>
      <c r="T548" s="1119">
        <f t="shared" si="90"/>
        <v>-95.309108646485171</v>
      </c>
      <c r="U548" s="1119">
        <f t="shared" si="90"/>
        <v>-3.5856362779786122</v>
      </c>
      <c r="V548" s="1119">
        <f t="shared" si="90"/>
        <v>-296.46925773814843</v>
      </c>
      <c r="W548" s="1119">
        <f t="shared" si="90"/>
        <v>23.392442910364515</v>
      </c>
      <c r="X548" s="978"/>
      <c r="Y548" s="1120">
        <f t="shared" si="95"/>
        <v>17809.529831627045</v>
      </c>
      <c r="Z548" s="1354"/>
      <c r="AA548" s="1001">
        <v>0.31852343438247316</v>
      </c>
      <c r="AB548" s="978"/>
      <c r="AC548" s="1036">
        <f t="shared" si="96"/>
        <v>0.31852343438247316</v>
      </c>
      <c r="AD548" s="783">
        <f t="shared" si="97"/>
        <v>0.31900000000000001</v>
      </c>
      <c r="AE548" s="1321"/>
      <c r="AF548" s="1322"/>
      <c r="AG548" s="740"/>
    </row>
    <row r="549" spans="1:33">
      <c r="A549" s="96">
        <v>301477</v>
      </c>
      <c r="B549" s="1286" t="s">
        <v>1213</v>
      </c>
      <c r="C549" s="782">
        <f>'TAR_Tab 2_Volumina'!N552</f>
        <v>1</v>
      </c>
      <c r="D549" s="976"/>
      <c r="E549" s="1318">
        <v>53583.041717047774</v>
      </c>
      <c r="F549" s="1116">
        <f t="shared" si="91"/>
        <v>50989.622497942662</v>
      </c>
      <c r="G549" s="1116">
        <f t="shared" si="92"/>
        <v>52181.301246728748</v>
      </c>
      <c r="H549" s="976"/>
      <c r="I549" s="1117">
        <f t="shared" si="98"/>
        <v>49572.236184392306</v>
      </c>
      <c r="J549" s="1117">
        <f t="shared" si="98"/>
        <v>54790.36630906519</v>
      </c>
      <c r="K549" s="1320"/>
      <c r="L549" s="1000" t="str">
        <f t="shared" si="93"/>
        <v/>
      </c>
      <c r="M549" s="1118">
        <f t="shared" si="94"/>
        <v>52181.301246728748</v>
      </c>
      <c r="N549" s="976"/>
      <c r="O549" s="1119">
        <f t="shared" si="88"/>
        <v>-2420.0570244056871</v>
      </c>
      <c r="P549" s="1119">
        <f t="shared" si="90"/>
        <v>2504.114161344356</v>
      </c>
      <c r="Q549" s="1119">
        <f t="shared" si="90"/>
        <v>0</v>
      </c>
      <c r="R549" s="1119">
        <f t="shared" si="90"/>
        <v>94.336245768053928</v>
      </c>
      <c r="S549" s="1119">
        <f t="shared" si="90"/>
        <v>2184.8095447024193</v>
      </c>
      <c r="T549" s="1119">
        <f t="shared" si="90"/>
        <v>-285.92732593945556</v>
      </c>
      <c r="U549" s="1119">
        <f t="shared" si="90"/>
        <v>-10.756908833935839</v>
      </c>
      <c r="V549" s="1119">
        <f t="shared" si="90"/>
        <v>-889.40777321444534</v>
      </c>
      <c r="W549" s="1119">
        <f t="shared" si="90"/>
        <v>70.177328731093553</v>
      </c>
      <c r="X549" s="978"/>
      <c r="Y549" s="1120">
        <f t="shared" si="95"/>
        <v>53428.589494881147</v>
      </c>
      <c r="Z549" s="1354"/>
      <c r="AA549" s="1001">
        <v>0.10617447812749106</v>
      </c>
      <c r="AB549" s="978"/>
      <c r="AC549" s="1036">
        <f t="shared" si="96"/>
        <v>0.10617447812749106</v>
      </c>
      <c r="AD549" s="783">
        <f t="shared" si="97"/>
        <v>0.106</v>
      </c>
      <c r="AE549" s="1321"/>
      <c r="AF549" s="1322"/>
      <c r="AG549" s="740"/>
    </row>
    <row r="550" spans="1:33">
      <c r="A550" s="96">
        <v>301478</v>
      </c>
      <c r="B550" s="1286" t="s">
        <v>1214</v>
      </c>
      <c r="C550" s="782">
        <f>'TAR_Tab 2_Volumina'!N553</f>
        <v>1</v>
      </c>
      <c r="D550" s="976"/>
      <c r="E550" s="1318">
        <v>17861.01390568259</v>
      </c>
      <c r="F550" s="1116">
        <f t="shared" si="91"/>
        <v>16996.540832647552</v>
      </c>
      <c r="G550" s="1116">
        <f t="shared" si="92"/>
        <v>17393.767082242914</v>
      </c>
      <c r="H550" s="976"/>
      <c r="I550" s="1117">
        <f t="shared" si="98"/>
        <v>16524.078728130768</v>
      </c>
      <c r="J550" s="1117">
        <f t="shared" si="98"/>
        <v>18263.45543635506</v>
      </c>
      <c r="K550" s="1320"/>
      <c r="L550" s="1000" t="str">
        <f t="shared" si="93"/>
        <v/>
      </c>
      <c r="M550" s="1118">
        <f t="shared" si="94"/>
        <v>17393.767082242914</v>
      </c>
      <c r="N550" s="976"/>
      <c r="O550" s="1119">
        <f t="shared" si="88"/>
        <v>-806.68567480189563</v>
      </c>
      <c r="P550" s="1119">
        <f t="shared" si="88"/>
        <v>834.70472044811856</v>
      </c>
      <c r="Q550" s="1119">
        <f t="shared" si="88"/>
        <v>0</v>
      </c>
      <c r="R550" s="1119">
        <f t="shared" si="88"/>
        <v>31.44541525601797</v>
      </c>
      <c r="S550" s="1119">
        <f t="shared" si="88"/>
        <v>728.26984823413966</v>
      </c>
      <c r="T550" s="1119">
        <f t="shared" si="88"/>
        <v>-95.309108646485171</v>
      </c>
      <c r="U550" s="1119">
        <f t="shared" si="88"/>
        <v>-3.5856362779786122</v>
      </c>
      <c r="V550" s="1119">
        <f t="shared" si="88"/>
        <v>-296.46925773814843</v>
      </c>
      <c r="W550" s="1119">
        <f t="shared" si="88"/>
        <v>23.392442910364515</v>
      </c>
      <c r="X550" s="978"/>
      <c r="Y550" s="1120">
        <f t="shared" si="95"/>
        <v>17809.529831627045</v>
      </c>
      <c r="Z550" s="1354"/>
      <c r="AA550" s="1001">
        <v>0.29653932260639121</v>
      </c>
      <c r="AB550" s="978"/>
      <c r="AC550" s="1036">
        <f t="shared" si="96"/>
        <v>0.29653932260639121</v>
      </c>
      <c r="AD550" s="783">
        <f t="shared" si="97"/>
        <v>0.29699999999999999</v>
      </c>
      <c r="AE550" s="1321"/>
      <c r="AF550" s="1322"/>
      <c r="AG550" s="740"/>
    </row>
    <row r="551" spans="1:33">
      <c r="A551" s="96">
        <v>301479</v>
      </c>
      <c r="B551" s="1286" t="s">
        <v>1215</v>
      </c>
      <c r="C551" s="782">
        <f>'TAR_Tab 2_Volumina'!N554</f>
        <v>1</v>
      </c>
      <c r="D551" s="976"/>
      <c r="E551" s="1318">
        <v>17861.01390568259</v>
      </c>
      <c r="F551" s="1116">
        <f t="shared" si="91"/>
        <v>16996.540832647552</v>
      </c>
      <c r="G551" s="1116">
        <f t="shared" si="92"/>
        <v>17393.767082242914</v>
      </c>
      <c r="H551" s="976"/>
      <c r="I551" s="1117">
        <f t="shared" si="98"/>
        <v>16524.078728130768</v>
      </c>
      <c r="J551" s="1117">
        <f t="shared" si="98"/>
        <v>18263.45543635506</v>
      </c>
      <c r="K551" s="1320"/>
      <c r="L551" s="1000" t="str">
        <f t="shared" si="93"/>
        <v/>
      </c>
      <c r="M551" s="1118">
        <f t="shared" si="94"/>
        <v>17393.767082242914</v>
      </c>
      <c r="N551" s="976"/>
      <c r="O551" s="1119">
        <f t="shared" ref="O551:W557" si="99">$M551*O$5</f>
        <v>-806.68567480189563</v>
      </c>
      <c r="P551" s="1119">
        <f t="shared" si="99"/>
        <v>834.70472044811856</v>
      </c>
      <c r="Q551" s="1119">
        <f t="shared" si="99"/>
        <v>0</v>
      </c>
      <c r="R551" s="1119">
        <f t="shared" si="99"/>
        <v>31.44541525601797</v>
      </c>
      <c r="S551" s="1119">
        <f t="shared" si="99"/>
        <v>728.26984823413966</v>
      </c>
      <c r="T551" s="1119">
        <f t="shared" si="99"/>
        <v>-95.309108646485171</v>
      </c>
      <c r="U551" s="1119">
        <f t="shared" si="99"/>
        <v>-3.5856362779786122</v>
      </c>
      <c r="V551" s="1119">
        <f t="shared" si="99"/>
        <v>-296.46925773814843</v>
      </c>
      <c r="W551" s="1119">
        <f t="shared" si="99"/>
        <v>23.392442910364515</v>
      </c>
      <c r="X551" s="978"/>
      <c r="Y551" s="1120">
        <f t="shared" si="95"/>
        <v>17809.529831627045</v>
      </c>
      <c r="Z551" s="1354"/>
      <c r="AA551" s="1001">
        <v>2.742165253457765</v>
      </c>
      <c r="AB551" s="978"/>
      <c r="AC551" s="1036">
        <f t="shared" si="96"/>
        <v>2.742165253457765</v>
      </c>
      <c r="AD551" s="783">
        <f t="shared" si="97"/>
        <v>2.742</v>
      </c>
      <c r="AE551" s="1321"/>
      <c r="AF551" s="1322"/>
      <c r="AG551" s="740"/>
    </row>
    <row r="552" spans="1:33">
      <c r="A552" s="96">
        <v>301480</v>
      </c>
      <c r="B552" s="1286" t="s">
        <v>1216</v>
      </c>
      <c r="C552" s="782">
        <f>'TAR_Tab 2_Volumina'!N555</f>
        <v>1</v>
      </c>
      <c r="D552" s="976"/>
      <c r="E552" s="1318">
        <v>17861.01390568259</v>
      </c>
      <c r="F552" s="1116">
        <f t="shared" si="91"/>
        <v>16996.540832647552</v>
      </c>
      <c r="G552" s="1116">
        <f t="shared" si="92"/>
        <v>17393.767082242914</v>
      </c>
      <c r="H552" s="976"/>
      <c r="I552" s="1117">
        <f t="shared" si="98"/>
        <v>16524.078728130768</v>
      </c>
      <c r="J552" s="1117">
        <f t="shared" si="98"/>
        <v>18263.45543635506</v>
      </c>
      <c r="K552" s="1320"/>
      <c r="L552" s="1000" t="str">
        <f t="shared" si="93"/>
        <v/>
      </c>
      <c r="M552" s="1118">
        <f t="shared" si="94"/>
        <v>17393.767082242914</v>
      </c>
      <c r="N552" s="976"/>
      <c r="O552" s="1119">
        <f t="shared" si="99"/>
        <v>-806.68567480189563</v>
      </c>
      <c r="P552" s="1119">
        <f t="shared" si="99"/>
        <v>834.70472044811856</v>
      </c>
      <c r="Q552" s="1119">
        <f t="shared" si="99"/>
        <v>0</v>
      </c>
      <c r="R552" s="1119">
        <f t="shared" si="99"/>
        <v>31.44541525601797</v>
      </c>
      <c r="S552" s="1119">
        <f t="shared" si="99"/>
        <v>728.26984823413966</v>
      </c>
      <c r="T552" s="1119">
        <f t="shared" si="99"/>
        <v>-95.309108646485171</v>
      </c>
      <c r="U552" s="1119">
        <f t="shared" si="99"/>
        <v>-3.5856362779786122</v>
      </c>
      <c r="V552" s="1119">
        <f t="shared" si="99"/>
        <v>-296.46925773814843</v>
      </c>
      <c r="W552" s="1119">
        <f t="shared" si="99"/>
        <v>23.392442910364515</v>
      </c>
      <c r="X552" s="978"/>
      <c r="Y552" s="1120">
        <f t="shared" si="95"/>
        <v>17809.529831627045</v>
      </c>
      <c r="Z552" s="1354"/>
      <c r="AA552" s="1001">
        <v>0.33286863827886976</v>
      </c>
      <c r="AB552" s="978"/>
      <c r="AC552" s="1036">
        <f t="shared" si="96"/>
        <v>0.33286863827886976</v>
      </c>
      <c r="AD552" s="783">
        <f t="shared" si="97"/>
        <v>0.33300000000000002</v>
      </c>
      <c r="AE552" s="1321"/>
      <c r="AF552" s="1322"/>
      <c r="AG552" s="740"/>
    </row>
    <row r="553" spans="1:33">
      <c r="A553" s="96">
        <v>301481</v>
      </c>
      <c r="B553" s="1286" t="s">
        <v>1217</v>
      </c>
      <c r="C553" s="782">
        <f>'TAR_Tab 2_Volumina'!N556</f>
        <v>1</v>
      </c>
      <c r="D553" s="976"/>
      <c r="E553" s="1318">
        <v>89305.069528412947</v>
      </c>
      <c r="F553" s="1116">
        <f t="shared" si="91"/>
        <v>84982.704163237766</v>
      </c>
      <c r="G553" s="1116">
        <f t="shared" si="92"/>
        <v>86968.835411214575</v>
      </c>
      <c r="H553" s="976"/>
      <c r="I553" s="1117">
        <f t="shared" si="98"/>
        <v>82620.393640653841</v>
      </c>
      <c r="J553" s="1117">
        <f t="shared" si="98"/>
        <v>91317.277181775309</v>
      </c>
      <c r="K553" s="1320"/>
      <c r="L553" s="1000" t="str">
        <f t="shared" si="93"/>
        <v/>
      </c>
      <c r="M553" s="1118">
        <f t="shared" si="94"/>
        <v>86968.835411214575</v>
      </c>
      <c r="N553" s="976"/>
      <c r="O553" s="1119">
        <f t="shared" si="99"/>
        <v>-4033.4283740094784</v>
      </c>
      <c r="P553" s="1119">
        <f t="shared" si="99"/>
        <v>4173.5236022405934</v>
      </c>
      <c r="Q553" s="1119">
        <f t="shared" si="99"/>
        <v>0</v>
      </c>
      <c r="R553" s="1119">
        <f t="shared" si="99"/>
        <v>157.22707628008988</v>
      </c>
      <c r="S553" s="1119">
        <f t="shared" si="99"/>
        <v>3641.3492411706984</v>
      </c>
      <c r="T553" s="1119">
        <f t="shared" si="99"/>
        <v>-476.54554323242587</v>
      </c>
      <c r="U553" s="1119">
        <f t="shared" si="99"/>
        <v>-17.928181389893062</v>
      </c>
      <c r="V553" s="1119">
        <f t="shared" si="99"/>
        <v>-1482.3462886907421</v>
      </c>
      <c r="W553" s="1119">
        <f t="shared" si="99"/>
        <v>116.96221455182258</v>
      </c>
      <c r="X553" s="978"/>
      <c r="Y553" s="1120">
        <f t="shared" si="95"/>
        <v>89047.649158135246</v>
      </c>
      <c r="Z553" s="1354"/>
      <c r="AA553" s="1001">
        <v>0.23220492462868944</v>
      </c>
      <c r="AB553" s="978"/>
      <c r="AC553" s="1036">
        <f t="shared" si="96"/>
        <v>0.23220492462868944</v>
      </c>
      <c r="AD553" s="783">
        <f t="shared" si="97"/>
        <v>0.23200000000000001</v>
      </c>
      <c r="AE553" s="1321"/>
      <c r="AF553" s="1322"/>
      <c r="AG553" s="740"/>
    </row>
    <row r="554" spans="1:33">
      <c r="A554" s="96">
        <v>301482</v>
      </c>
      <c r="B554" s="1286" t="s">
        <v>1218</v>
      </c>
      <c r="C554" s="782">
        <f>'TAR_Tab 2_Volumina'!N557</f>
        <v>1</v>
      </c>
      <c r="D554" s="976"/>
      <c r="E554" s="1318">
        <v>142888.11124546072</v>
      </c>
      <c r="F554" s="1116">
        <f t="shared" si="91"/>
        <v>135972.32666118041</v>
      </c>
      <c r="G554" s="1116">
        <f t="shared" si="92"/>
        <v>139150.13665794331</v>
      </c>
      <c r="H554" s="976"/>
      <c r="I554" s="1117">
        <f t="shared" si="98"/>
        <v>132192.62982504614</v>
      </c>
      <c r="J554" s="1117">
        <f t="shared" si="98"/>
        <v>146107.64349084048</v>
      </c>
      <c r="K554" s="1320"/>
      <c r="L554" s="1000" t="str">
        <f t="shared" si="93"/>
        <v/>
      </c>
      <c r="M554" s="1118">
        <f t="shared" si="94"/>
        <v>139150.13665794331</v>
      </c>
      <c r="N554" s="976"/>
      <c r="O554" s="1119">
        <f t="shared" si="99"/>
        <v>-6453.485398415165</v>
      </c>
      <c r="P554" s="1119">
        <f t="shared" si="99"/>
        <v>6677.6377635849485</v>
      </c>
      <c r="Q554" s="1119">
        <f t="shared" si="99"/>
        <v>0</v>
      </c>
      <c r="R554" s="1119">
        <f t="shared" si="99"/>
        <v>251.56332204814376</v>
      </c>
      <c r="S554" s="1119">
        <f t="shared" si="99"/>
        <v>5826.1587858731173</v>
      </c>
      <c r="T554" s="1119">
        <f t="shared" si="99"/>
        <v>-762.47286917188137</v>
      </c>
      <c r="U554" s="1119">
        <f t="shared" si="99"/>
        <v>-28.685090223828897</v>
      </c>
      <c r="V554" s="1119">
        <f t="shared" si="99"/>
        <v>-2371.7540619051874</v>
      </c>
      <c r="W554" s="1119">
        <f t="shared" si="99"/>
        <v>187.13954328291612</v>
      </c>
      <c r="X554" s="978"/>
      <c r="Y554" s="1120">
        <f t="shared" si="95"/>
        <v>142476.23865301636</v>
      </c>
      <c r="Z554" s="1354"/>
      <c r="AA554" s="1001">
        <v>0.11694629741770836</v>
      </c>
      <c r="AB554" s="978"/>
      <c r="AC554" s="1036">
        <f t="shared" si="96"/>
        <v>0.11694629741770836</v>
      </c>
      <c r="AD554" s="783">
        <f t="shared" si="97"/>
        <v>0.11700000000000001</v>
      </c>
      <c r="AE554" s="1321"/>
      <c r="AF554" s="1322"/>
      <c r="AG554" s="740"/>
    </row>
    <row r="555" spans="1:33">
      <c r="A555" s="96">
        <v>301483</v>
      </c>
      <c r="B555" s="1286" t="s">
        <v>1219</v>
      </c>
      <c r="C555" s="782">
        <f>'TAR_Tab 2_Volumina'!N558</f>
        <v>1</v>
      </c>
      <c r="D555" s="976"/>
      <c r="E555" s="1318">
        <v>53583.041717047774</v>
      </c>
      <c r="F555" s="1116">
        <f t="shared" si="91"/>
        <v>50989.622497942662</v>
      </c>
      <c r="G555" s="1116">
        <f t="shared" si="92"/>
        <v>52181.301246728748</v>
      </c>
      <c r="H555" s="976"/>
      <c r="I555" s="1117">
        <f t="shared" si="98"/>
        <v>49572.236184392306</v>
      </c>
      <c r="J555" s="1117">
        <f t="shared" si="98"/>
        <v>54790.36630906519</v>
      </c>
      <c r="K555" s="1320"/>
      <c r="L555" s="1000" t="str">
        <f t="shared" si="93"/>
        <v/>
      </c>
      <c r="M555" s="1118">
        <f t="shared" si="94"/>
        <v>52181.301246728748</v>
      </c>
      <c r="N555" s="976"/>
      <c r="O555" s="1119">
        <f t="shared" si="99"/>
        <v>-2420.0570244056871</v>
      </c>
      <c r="P555" s="1119">
        <f t="shared" si="99"/>
        <v>2504.114161344356</v>
      </c>
      <c r="Q555" s="1119">
        <f t="shared" si="99"/>
        <v>0</v>
      </c>
      <c r="R555" s="1119">
        <f t="shared" si="99"/>
        <v>94.336245768053928</v>
      </c>
      <c r="S555" s="1119">
        <f t="shared" si="99"/>
        <v>2184.8095447024193</v>
      </c>
      <c r="T555" s="1119">
        <f t="shared" si="99"/>
        <v>-285.92732593945556</v>
      </c>
      <c r="U555" s="1119">
        <f t="shared" si="99"/>
        <v>-10.756908833935839</v>
      </c>
      <c r="V555" s="1119">
        <f t="shared" si="99"/>
        <v>-889.40777321444534</v>
      </c>
      <c r="W555" s="1119">
        <f t="shared" si="99"/>
        <v>70.177328731093553</v>
      </c>
      <c r="X555" s="978"/>
      <c r="Y555" s="1120">
        <f t="shared" si="95"/>
        <v>53428.589494881147</v>
      </c>
      <c r="Z555" s="1354"/>
      <c r="AA555" s="1001">
        <v>0.42604635001855945</v>
      </c>
      <c r="AB555" s="978"/>
      <c r="AC555" s="1036">
        <f t="shared" si="96"/>
        <v>0.42604635001855945</v>
      </c>
      <c r="AD555" s="783">
        <f t="shared" si="97"/>
        <v>0.42599999999999999</v>
      </c>
      <c r="AE555" s="1321"/>
      <c r="AF555" s="1322"/>
      <c r="AG555" s="740"/>
    </row>
    <row r="556" spans="1:33">
      <c r="A556" s="96">
        <v>301484</v>
      </c>
      <c r="B556" s="1286" t="s">
        <v>1220</v>
      </c>
      <c r="C556" s="782">
        <f>'TAR_Tab 2_Volumina'!N559</f>
        <v>1</v>
      </c>
      <c r="D556" s="976"/>
      <c r="E556" s="1318">
        <v>35722.02781136518</v>
      </c>
      <c r="F556" s="1116">
        <f t="shared" si="91"/>
        <v>33993.081665295103</v>
      </c>
      <c r="G556" s="1116">
        <f t="shared" si="92"/>
        <v>34787.534164485827</v>
      </c>
      <c r="H556" s="976"/>
      <c r="I556" s="1117">
        <f t="shared" si="98"/>
        <v>33048.157456261535</v>
      </c>
      <c r="J556" s="1117">
        <f t="shared" si="98"/>
        <v>36526.910872710119</v>
      </c>
      <c r="K556" s="1320"/>
      <c r="L556" s="1000" t="str">
        <f t="shared" si="93"/>
        <v/>
      </c>
      <c r="M556" s="1118">
        <f t="shared" si="94"/>
        <v>34787.534164485827</v>
      </c>
      <c r="N556" s="976"/>
      <c r="O556" s="1119">
        <f t="shared" si="99"/>
        <v>-1613.3713496037913</v>
      </c>
      <c r="P556" s="1119">
        <f t="shared" si="99"/>
        <v>1669.4094408962371</v>
      </c>
      <c r="Q556" s="1119">
        <f t="shared" si="99"/>
        <v>0</v>
      </c>
      <c r="R556" s="1119">
        <f t="shared" si="99"/>
        <v>62.89083051203594</v>
      </c>
      <c r="S556" s="1119">
        <f t="shared" si="99"/>
        <v>1456.5396964682793</v>
      </c>
      <c r="T556" s="1119">
        <f t="shared" si="99"/>
        <v>-190.61821729297034</v>
      </c>
      <c r="U556" s="1119">
        <f t="shared" si="99"/>
        <v>-7.1712725559572243</v>
      </c>
      <c r="V556" s="1119">
        <f t="shared" si="99"/>
        <v>-592.93851547629686</v>
      </c>
      <c r="W556" s="1119">
        <f t="shared" si="99"/>
        <v>46.784885820729031</v>
      </c>
      <c r="X556" s="978"/>
      <c r="Y556" s="1120">
        <f t="shared" si="95"/>
        <v>35619.059663254091</v>
      </c>
      <c r="Z556" s="1354"/>
      <c r="AA556" s="1001">
        <v>0.20007713398895599</v>
      </c>
      <c r="AB556" s="978"/>
      <c r="AC556" s="1036">
        <f t="shared" si="96"/>
        <v>0.20007713398895599</v>
      </c>
      <c r="AD556" s="783">
        <f t="shared" si="97"/>
        <v>0.2</v>
      </c>
      <c r="AE556" s="1321"/>
      <c r="AF556" s="1322"/>
      <c r="AG556" s="740"/>
    </row>
    <row r="557" spans="1:33">
      <c r="A557" s="96">
        <v>301485</v>
      </c>
      <c r="B557" s="1286" t="s">
        <v>1221</v>
      </c>
      <c r="C557" s="782">
        <f>'TAR_Tab 2_Volumina'!N560</f>
        <v>1</v>
      </c>
      <c r="D557" s="976"/>
      <c r="E557" s="1318">
        <v>17861.01390568259</v>
      </c>
      <c r="F557" s="1116">
        <f t="shared" si="91"/>
        <v>16996.540832647552</v>
      </c>
      <c r="G557" s="1116">
        <f t="shared" si="92"/>
        <v>17393.767082242914</v>
      </c>
      <c r="H557" s="976"/>
      <c r="I557" s="1117">
        <f t="shared" ref="I557:J557" si="100">$G557*I$5</f>
        <v>16524.078728130768</v>
      </c>
      <c r="J557" s="1117">
        <f t="shared" si="100"/>
        <v>18263.45543635506</v>
      </c>
      <c r="K557" s="1320"/>
      <c r="L557" s="1000" t="str">
        <f t="shared" si="93"/>
        <v/>
      </c>
      <c r="M557" s="1118">
        <f t="shared" si="94"/>
        <v>17393.767082242914</v>
      </c>
      <c r="N557" s="976"/>
      <c r="O557" s="1119">
        <f t="shared" si="99"/>
        <v>-806.68567480189563</v>
      </c>
      <c r="P557" s="1119">
        <f t="shared" si="99"/>
        <v>834.70472044811856</v>
      </c>
      <c r="Q557" s="1119">
        <f t="shared" si="99"/>
        <v>0</v>
      </c>
      <c r="R557" s="1119">
        <f t="shared" si="99"/>
        <v>31.44541525601797</v>
      </c>
      <c r="S557" s="1119">
        <f t="shared" si="99"/>
        <v>728.26984823413966</v>
      </c>
      <c r="T557" s="1119">
        <f t="shared" si="99"/>
        <v>-95.309108646485171</v>
      </c>
      <c r="U557" s="1119">
        <f t="shared" si="99"/>
        <v>-3.5856362779786122</v>
      </c>
      <c r="V557" s="1119">
        <f t="shared" si="99"/>
        <v>-296.46925773814843</v>
      </c>
      <c r="W557" s="1119">
        <f t="shared" si="99"/>
        <v>23.392442910364515</v>
      </c>
      <c r="X557" s="978"/>
      <c r="Y557" s="1120">
        <f t="shared" si="95"/>
        <v>17809.529831627045</v>
      </c>
      <c r="Z557" s="1354"/>
      <c r="AA557" s="1001">
        <v>1.1964285642062089</v>
      </c>
      <c r="AB557" s="978"/>
      <c r="AC557" s="1036">
        <f t="shared" si="96"/>
        <v>1.1964285642062089</v>
      </c>
      <c r="AD557" s="783">
        <f t="shared" si="97"/>
        <v>1.196</v>
      </c>
      <c r="AE557" s="1321"/>
      <c r="AF557" s="1322"/>
      <c r="AG557" s="740"/>
    </row>
    <row r="558" spans="1:33">
      <c r="Y558" s="942"/>
      <c r="Z558" s="775"/>
      <c r="AA558" s="941"/>
      <c r="AC558" s="941"/>
      <c r="AF558" s="740"/>
      <c r="AG558" s="740"/>
    </row>
    <row r="559" spans="1:33" s="71" customFormat="1">
      <c r="D559" s="72"/>
      <c r="H559" s="72"/>
      <c r="I559" s="72"/>
      <c r="J559" s="72"/>
      <c r="K559" s="72"/>
      <c r="L559" s="72"/>
      <c r="M559" s="489"/>
      <c r="N559" s="72"/>
      <c r="O559" s="437"/>
      <c r="P559" s="437"/>
      <c r="Q559" s="437"/>
      <c r="R559" s="437"/>
      <c r="S559" s="437"/>
      <c r="T559" s="437"/>
      <c r="U559" s="437"/>
      <c r="V559" s="437"/>
      <c r="W559" s="437"/>
      <c r="X559" s="112"/>
      <c r="Y559" s="943"/>
      <c r="AB559" s="112"/>
      <c r="AE559" s="112"/>
    </row>
    <row r="560" spans="1:33" s="71" customFormat="1">
      <c r="D560" s="72"/>
      <c r="H560" s="72"/>
      <c r="I560" s="72"/>
      <c r="J560" s="72"/>
      <c r="K560" s="72"/>
      <c r="L560" s="72"/>
      <c r="M560" s="489"/>
      <c r="N560" s="72"/>
      <c r="O560" s="489"/>
      <c r="P560" s="489"/>
      <c r="Q560" s="489"/>
      <c r="R560" s="489"/>
      <c r="S560" s="489"/>
      <c r="T560" s="489"/>
      <c r="U560" s="489"/>
      <c r="V560" s="489"/>
      <c r="W560" s="489"/>
      <c r="X560" s="804"/>
      <c r="AB560" s="804"/>
      <c r="AE560" s="804"/>
    </row>
    <row r="561" spans="4:31" s="71" customFormat="1">
      <c r="D561" s="72"/>
      <c r="H561" s="72"/>
      <c r="I561" s="72"/>
      <c r="J561" s="72"/>
      <c r="K561" s="72"/>
      <c r="L561" s="72"/>
      <c r="M561" s="87"/>
      <c r="N561" s="72"/>
      <c r="O561" s="489"/>
      <c r="P561" s="489"/>
      <c r="Q561" s="489"/>
      <c r="R561" s="489"/>
      <c r="S561" s="489"/>
      <c r="T561" s="489"/>
      <c r="U561" s="489"/>
      <c r="V561" s="489"/>
      <c r="W561" s="489"/>
      <c r="X561" s="804"/>
      <c r="AB561" s="804"/>
      <c r="AE561" s="804"/>
    </row>
    <row r="562" spans="4:31">
      <c r="O562" s="87"/>
      <c r="P562" s="87"/>
      <c r="Q562" s="87"/>
      <c r="R562" s="87"/>
      <c r="S562" s="87"/>
      <c r="T562" s="87"/>
      <c r="U562" s="87"/>
      <c r="V562" s="87"/>
      <c r="W562" s="87"/>
    </row>
  </sheetData>
  <mergeCells count="5">
    <mergeCell ref="AC3:AD3"/>
    <mergeCell ref="O3:W3"/>
    <mergeCell ref="I3:M3"/>
    <mergeCell ref="E3:G3"/>
    <mergeCell ref="Y3:AA3"/>
  </mergeCells>
  <phoneticPr fontId="0" type="noConversion"/>
  <conditionalFormatting sqref="E7:E557">
    <cfRule type="containsErrors" dxfId="6" priority="16">
      <formula>ISERROR(E7)</formula>
    </cfRule>
  </conditionalFormatting>
  <pageMargins left="0.75" right="0.75" top="1" bottom="1" header="0.5" footer="0.5"/>
  <pageSetup paperSize="9" scale="16" orientation="portrait" r:id="rId1"/>
  <headerFooter alignWithMargins="0">
    <oddFooter>&amp;LEnergiekamer NMa&amp;R&amp;F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AD38"/>
  <sheetViews>
    <sheetView showGridLines="0" zoomScale="70" zoomScaleNormal="70" zoomScaleSheetLayoutView="70" workbookViewId="0"/>
  </sheetViews>
  <sheetFormatPr defaultRowHeight="12.75"/>
  <cols>
    <col min="1" max="1" width="33.28515625" customWidth="1"/>
    <col min="2" max="2" width="83.42578125" bestFit="1" customWidth="1"/>
    <col min="3" max="3" width="1.5703125" style="101" customWidth="1"/>
    <col min="4" max="4" width="13.42578125" style="21" customWidth="1"/>
    <col min="5" max="5" width="1.85546875" style="101" customWidth="1"/>
    <col min="6" max="6" width="16.85546875" style="101" customWidth="1"/>
    <col min="7" max="7" width="23.28515625" customWidth="1"/>
    <col min="8" max="8" width="22.42578125" customWidth="1"/>
    <col min="9" max="9" width="2" style="101" customWidth="1"/>
    <col min="10" max="10" width="14.42578125" customWidth="1"/>
    <col min="11" max="11" width="14" customWidth="1"/>
    <col min="12" max="12" width="13.140625" customWidth="1"/>
    <col min="13" max="13" width="16" customWidth="1"/>
    <col min="14" max="14" width="1.7109375" style="101" customWidth="1"/>
    <col min="15" max="15" width="19.5703125" customWidth="1"/>
    <col min="16" max="16" width="1.7109375" customWidth="1"/>
    <col min="17" max="17" width="17.5703125" style="101" customWidth="1"/>
    <col min="18" max="19" width="15.140625" style="101" customWidth="1"/>
    <col min="20" max="20" width="18.42578125" style="101" customWidth="1"/>
    <col min="21" max="21" width="15.5703125" style="101" customWidth="1"/>
    <col min="22" max="22" width="17.85546875" style="101" customWidth="1"/>
    <col min="23" max="24" width="15.5703125" style="101" customWidth="1"/>
    <col min="25" max="25" width="1.7109375" style="101" customWidth="1"/>
    <col min="26" max="26" width="14.85546875" customWidth="1"/>
    <col min="27" max="27" width="15.28515625" customWidth="1"/>
    <col min="28" max="28" width="26.140625" style="101" customWidth="1"/>
    <col min="29" max="29" width="1.5703125" style="101" customWidth="1"/>
  </cols>
  <sheetData>
    <row r="1" spans="1:30" s="11" customFormat="1" ht="23.25" customHeight="1">
      <c r="A1" s="9" t="s">
        <v>942</v>
      </c>
      <c r="B1" s="12"/>
      <c r="C1" s="959"/>
      <c r="D1" s="12"/>
      <c r="E1" s="959"/>
      <c r="F1" s="12"/>
      <c r="G1" s="419"/>
      <c r="H1" s="12"/>
      <c r="I1" s="959"/>
      <c r="J1" s="12"/>
      <c r="K1" s="12"/>
      <c r="L1" s="12"/>
      <c r="M1" s="12"/>
      <c r="N1" s="1082"/>
      <c r="O1" s="12"/>
      <c r="P1" s="12"/>
      <c r="Q1" s="651"/>
      <c r="R1" s="651"/>
      <c r="S1" s="651"/>
      <c r="T1" s="651"/>
      <c r="U1" s="651"/>
      <c r="V1" s="651"/>
      <c r="W1" s="651"/>
      <c r="X1" s="867"/>
      <c r="Y1" s="959"/>
      <c r="Z1" s="473"/>
      <c r="AA1" s="473"/>
      <c r="AB1" s="611" t="s">
        <v>143</v>
      </c>
      <c r="AC1" s="767"/>
    </row>
    <row r="2" spans="1:30">
      <c r="B2" s="40"/>
      <c r="C2" s="40"/>
      <c r="D2"/>
      <c r="E2" s="40"/>
      <c r="I2" s="40"/>
      <c r="Z2" s="22"/>
      <c r="AA2" s="22"/>
      <c r="AB2" s="22"/>
    </row>
    <row r="3" spans="1:30" s="101" customFormat="1" ht="27.75" customHeight="1">
      <c r="A3" s="1042" t="s">
        <v>245</v>
      </c>
      <c r="B3" s="1042" t="s">
        <v>137</v>
      </c>
      <c r="C3" s="40"/>
      <c r="D3" s="977" t="s">
        <v>727</v>
      </c>
      <c r="E3" s="40"/>
      <c r="F3" s="1449" t="s">
        <v>1081</v>
      </c>
      <c r="G3" s="1449"/>
      <c r="H3" s="1449"/>
      <c r="I3" s="40"/>
      <c r="J3" s="1450" t="s">
        <v>977</v>
      </c>
      <c r="K3" s="1450"/>
      <c r="L3" s="1450"/>
      <c r="M3" s="1450"/>
      <c r="O3" s="1083" t="s">
        <v>1060</v>
      </c>
      <c r="Q3" s="1451" t="s">
        <v>967</v>
      </c>
      <c r="R3" s="1451"/>
      <c r="S3" s="1451"/>
      <c r="T3" s="1451"/>
      <c r="U3" s="1451"/>
      <c r="V3" s="1451"/>
      <c r="W3" s="1451"/>
      <c r="X3" s="1451"/>
      <c r="Y3" s="1044"/>
      <c r="Z3" s="1448" t="s">
        <v>968</v>
      </c>
      <c r="AA3" s="1448"/>
      <c r="AB3" s="1448"/>
      <c r="AC3" s="1044"/>
    </row>
    <row r="4" spans="1:30" s="25" customFormat="1" ht="54" customHeight="1">
      <c r="A4" s="1053"/>
      <c r="B4" s="1053"/>
      <c r="C4" s="1040"/>
      <c r="D4" s="146"/>
      <c r="E4" s="1040"/>
      <c r="F4" s="1005" t="s">
        <v>997</v>
      </c>
      <c r="G4" s="1005" t="s">
        <v>998</v>
      </c>
      <c r="H4" s="1005" t="s">
        <v>1057</v>
      </c>
      <c r="I4" s="1040"/>
      <c r="J4" s="1005" t="s">
        <v>135</v>
      </c>
      <c r="K4" s="1005" t="s">
        <v>136</v>
      </c>
      <c r="L4" s="1005" t="s">
        <v>133</v>
      </c>
      <c r="M4" s="1005" t="s">
        <v>134</v>
      </c>
      <c r="N4" s="982"/>
      <c r="O4" s="1005"/>
      <c r="P4" s="982"/>
      <c r="Q4" s="1005" t="s">
        <v>978</v>
      </c>
      <c r="R4" s="1005" t="s">
        <v>960</v>
      </c>
      <c r="S4" s="1005" t="s">
        <v>961</v>
      </c>
      <c r="T4" s="1005" t="s">
        <v>962</v>
      </c>
      <c r="U4" s="1005" t="s">
        <v>963</v>
      </c>
      <c r="V4" s="1005" t="s">
        <v>966</v>
      </c>
      <c r="W4" s="1005" t="s">
        <v>999</v>
      </c>
      <c r="X4" s="1005" t="s">
        <v>551</v>
      </c>
      <c r="Y4" s="1007"/>
      <c r="Z4" s="1005" t="s">
        <v>1000</v>
      </c>
      <c r="AA4" s="1005" t="s">
        <v>1001</v>
      </c>
      <c r="AB4" s="1005" t="s">
        <v>137</v>
      </c>
      <c r="AC4" s="1007"/>
    </row>
    <row r="5" spans="1:30" s="25" customFormat="1" ht="13.5" customHeight="1">
      <c r="A5" s="344"/>
      <c r="B5" s="344"/>
      <c r="C5" s="344"/>
      <c r="D5" s="203"/>
      <c r="E5" s="344"/>
      <c r="F5" s="774" t="s">
        <v>516</v>
      </c>
      <c r="G5" s="1098">
        <f>Parameters!$B$65-Parameters!B18</f>
        <v>0.9516</v>
      </c>
      <c r="H5" s="1099">
        <f>TAR_Tab_3_Tariefaanpassing!D24</f>
        <v>1.0233710055185086</v>
      </c>
      <c r="I5" s="344"/>
      <c r="J5" s="1121">
        <v>0.95</v>
      </c>
      <c r="K5" s="1121">
        <v>1.05</v>
      </c>
      <c r="L5" s="80"/>
      <c r="M5" s="80"/>
      <c r="N5" s="344"/>
      <c r="O5" s="774" t="s">
        <v>516</v>
      </c>
      <c r="P5" s="344"/>
      <c r="Q5" s="1122"/>
      <c r="R5" s="1123"/>
      <c r="S5" s="1123"/>
      <c r="T5" s="1123"/>
      <c r="U5" s="1123"/>
      <c r="V5" s="1123"/>
      <c r="W5" s="1123"/>
      <c r="X5" s="1122"/>
      <c r="Y5" s="344"/>
      <c r="Z5" s="108"/>
      <c r="AA5" s="108"/>
      <c r="AB5" s="108"/>
      <c r="AC5" s="344"/>
    </row>
    <row r="6" spans="1:30" s="25" customFormat="1" ht="13.5" customHeight="1">
      <c r="A6" s="344"/>
      <c r="B6" s="344"/>
      <c r="C6" s="344"/>
      <c r="D6" s="115"/>
      <c r="E6" s="344"/>
      <c r="F6" s="774" t="s">
        <v>517</v>
      </c>
      <c r="G6" s="1098">
        <f>Parameters!$B$65-Parameters!B19</f>
        <v>0.9516</v>
      </c>
      <c r="H6" s="1100">
        <f>TAR_Tab_3_Tariefaanpassing!D26</f>
        <v>1.0541396592286318</v>
      </c>
      <c r="I6" s="344"/>
      <c r="J6" s="1124"/>
      <c r="K6" s="1124"/>
      <c r="L6" s="80"/>
      <c r="M6" s="80"/>
      <c r="N6" s="89"/>
      <c r="O6" s="113" t="s">
        <v>517</v>
      </c>
      <c r="P6" s="89"/>
      <c r="Q6" s="1125"/>
      <c r="R6" s="1126">
        <f>'TAR_Tab 5_UI'!B226</f>
        <v>4.5605310050205704E-2</v>
      </c>
      <c r="S6" s="1126">
        <f>'TAR_Tab 6_NPD'!B36</f>
        <v>0</v>
      </c>
      <c r="T6" s="1126">
        <f>'TAR_Tab 7_MFA '!B52</f>
        <v>1.7933405753559244E-3</v>
      </c>
      <c r="U6" s="1045">
        <f>'TAR-Tab_8_Nacalculaties 14-16'!C14</f>
        <v>5.6071419357496217E-2</v>
      </c>
      <c r="V6" s="1045">
        <f>'TAR-Tab_8_Nacalculaties 14-16'!C49</f>
        <v>-1.6907722315599717E-2</v>
      </c>
      <c r="W6" s="1045">
        <f>'TAR-Tab_8_Nacalculaties 14-16'!C56</f>
        <v>-1.8110775928190676E-2</v>
      </c>
      <c r="X6" s="1127">
        <f>'TAR-Tab 10_incidenteel'!E44</f>
        <v>1.2609583457926046E-3</v>
      </c>
      <c r="Y6" s="89"/>
      <c r="Z6" s="108"/>
      <c r="AA6" s="108"/>
      <c r="AB6" s="108"/>
      <c r="AC6" s="89"/>
    </row>
    <row r="7" spans="1:30" s="25" customFormat="1" ht="13.5" customHeight="1">
      <c r="A7" s="344"/>
      <c r="B7" s="344"/>
      <c r="C7" s="344"/>
      <c r="D7" s="115"/>
      <c r="E7" s="344"/>
      <c r="F7" s="774" t="s">
        <v>496</v>
      </c>
      <c r="G7" s="1098">
        <f>Parameters!$B$65-Parameters!B22</f>
        <v>0.91490000000000005</v>
      </c>
      <c r="H7" s="1100">
        <f>TAR_Tab_3_Tariefaanpassing!D28</f>
        <v>1.0541396592286314</v>
      </c>
      <c r="I7" s="344"/>
      <c r="J7" s="1124"/>
      <c r="K7" s="1124"/>
      <c r="L7" s="80"/>
      <c r="M7" s="80"/>
      <c r="N7" s="89"/>
      <c r="O7" s="114" t="s">
        <v>496</v>
      </c>
      <c r="P7" s="89"/>
      <c r="Q7" s="1125"/>
      <c r="R7" s="1126">
        <f>'TAR_Tab 5_UI'!B227</f>
        <v>6.0102386231489641E-2</v>
      </c>
      <c r="S7" s="1126">
        <f>'TAR_Tab 6_NPD'!B37</f>
        <v>0</v>
      </c>
      <c r="T7" s="1128"/>
      <c r="U7" s="1045">
        <f>'TAR-Tab_8_Nacalculaties 14-16'!F14</f>
        <v>4.9752517499870183E-2</v>
      </c>
      <c r="V7" s="1045">
        <f>'TAR-Tab_8_Nacalculaties 14-16'!F49</f>
        <v>-7.3434523289840226E-3</v>
      </c>
      <c r="W7" s="1046"/>
      <c r="X7" s="1127">
        <f>'TAR-Tab 10_incidenteel'!H44</f>
        <v>0</v>
      </c>
      <c r="Y7" s="89"/>
      <c r="Z7" s="228"/>
      <c r="AA7" s="228"/>
      <c r="AB7" s="228"/>
      <c r="AC7" s="89"/>
    </row>
    <row r="8" spans="1:30" s="25" customFormat="1" ht="13.5" customHeight="1">
      <c r="A8" s="344"/>
      <c r="B8" s="344"/>
      <c r="C8" s="344"/>
      <c r="D8" s="115"/>
      <c r="E8" s="344"/>
      <c r="F8" s="774" t="s">
        <v>527</v>
      </c>
      <c r="G8" s="1098">
        <f>Parameters!$B$65-Parameters!B20</f>
        <v>0.94230000000000003</v>
      </c>
      <c r="H8" s="1100">
        <f>TAR_Tab_3_Tariefaanpassing!D30</f>
        <v>1.6150627392636829</v>
      </c>
      <c r="I8" s="344"/>
      <c r="J8" s="1124"/>
      <c r="K8" s="1124"/>
      <c r="L8" s="80"/>
      <c r="M8" s="80"/>
      <c r="N8" s="89"/>
      <c r="O8" s="114" t="s">
        <v>527</v>
      </c>
      <c r="P8" s="89"/>
      <c r="Q8" s="1127">
        <f>'TAR_Tab_4_Cor. verdeelsleutel'!C23</f>
        <v>0.80557882720192719</v>
      </c>
      <c r="R8" s="1126">
        <f>'TAR_Tab 5_UI'!B225</f>
        <v>1.147779043139008E-2</v>
      </c>
      <c r="S8" s="1128"/>
      <c r="T8" s="1128"/>
      <c r="U8" s="1045">
        <f>'TAR-Tab_8_Nacalculaties 14-16'!D14</f>
        <v>5.8671962281221381E-2</v>
      </c>
      <c r="V8" s="1045">
        <f>'TAR-Tab_8_Nacalculaties 14-16'!D49</f>
        <v>-1.7409392707278825E-2</v>
      </c>
      <c r="W8" s="1046"/>
      <c r="X8" s="1127">
        <f>'TAR-Tab 10_incidenteel'!F44</f>
        <v>0</v>
      </c>
      <c r="Y8" s="89"/>
      <c r="Z8" s="228"/>
      <c r="AA8" s="228"/>
      <c r="AB8" s="228"/>
      <c r="AC8" s="89"/>
    </row>
    <row r="9" spans="1:30" s="25" customFormat="1" ht="13.5" customHeight="1">
      <c r="A9" s="26"/>
      <c r="B9" s="26"/>
      <c r="D9" s="14"/>
      <c r="F9" s="14"/>
      <c r="G9" s="14"/>
      <c r="H9" s="14"/>
      <c r="J9" s="14"/>
      <c r="K9" s="14"/>
      <c r="L9" s="14"/>
      <c r="M9" s="14"/>
      <c r="N9" s="18"/>
      <c r="O9" s="14"/>
      <c r="P9" s="18"/>
      <c r="Q9" s="678"/>
      <c r="R9" s="678"/>
      <c r="S9" s="678"/>
      <c r="T9" s="678"/>
      <c r="U9" s="678"/>
      <c r="V9" s="678"/>
      <c r="W9" s="678"/>
      <c r="X9" s="678"/>
      <c r="Y9" s="18"/>
      <c r="Z9" s="14"/>
      <c r="AA9" s="23"/>
      <c r="AB9" s="26"/>
      <c r="AC9" s="18"/>
    </row>
    <row r="10" spans="1:30">
      <c r="A10" s="773" t="s">
        <v>100</v>
      </c>
      <c r="B10" s="773" t="s">
        <v>625</v>
      </c>
      <c r="C10" s="1041"/>
      <c r="D10" s="840">
        <f>'TAR_Tab 2_Volumina'!AF10</f>
        <v>2376394.5789677165</v>
      </c>
      <c r="E10" s="1041"/>
      <c r="F10" s="742">
        <v>0.1956086550847515</v>
      </c>
      <c r="G10" s="845">
        <f>F10*$G$5</f>
        <v>0.18614119617864952</v>
      </c>
      <c r="H10" s="846">
        <f>G10*$H$5</f>
        <v>0.19049150310176252</v>
      </c>
      <c r="I10" s="1041"/>
      <c r="J10" s="842">
        <f>H10*$J$5</f>
        <v>0.18096692794667438</v>
      </c>
      <c r="K10" s="842">
        <f>H10*$K$5</f>
        <v>0.20001607825685067</v>
      </c>
      <c r="L10" s="1323"/>
      <c r="M10" s="20" t="str">
        <f>IF(L10&gt;0,AND(L10&gt;=J10,L10&lt;=K10),"")</f>
        <v/>
      </c>
      <c r="N10" s="15"/>
      <c r="O10" s="857">
        <f>IF(L10&gt;0,L10,H10)</f>
        <v>0.19049150310176252</v>
      </c>
      <c r="P10" s="15"/>
      <c r="Q10" s="732"/>
      <c r="R10" s="732"/>
      <c r="S10" s="732"/>
      <c r="T10" s="732"/>
      <c r="U10" s="732"/>
      <c r="V10" s="732"/>
      <c r="W10" s="732"/>
      <c r="X10" s="732"/>
      <c r="Y10" s="15"/>
      <c r="Z10" s="837">
        <f>O10+SUM(Q10:X10)</f>
        <v>0.19049150310176252</v>
      </c>
      <c r="AA10" s="592">
        <f>ROUND(Z10,3)</f>
        <v>0.19</v>
      </c>
      <c r="AB10" s="773" t="s">
        <v>624</v>
      </c>
      <c r="AC10" s="15"/>
    </row>
    <row r="11" spans="1:30">
      <c r="A11" s="773" t="s">
        <v>102</v>
      </c>
      <c r="B11" s="773" t="s">
        <v>246</v>
      </c>
      <c r="C11" s="1041"/>
      <c r="D11" s="840">
        <f>'TAR_Tab 2_Volumina'!AF11</f>
        <v>99.998432624843829</v>
      </c>
      <c r="E11" s="1041"/>
      <c r="F11" s="847">
        <v>99.956891754211171</v>
      </c>
      <c r="G11" s="845">
        <f>F11*$G$5</f>
        <v>95.118978193307356</v>
      </c>
      <c r="H11" s="846">
        <f>G11*$H$5</f>
        <v>97.342004357578034</v>
      </c>
      <c r="I11" s="1041"/>
      <c r="J11" s="843">
        <f>H11*$J$5</f>
        <v>92.474904139699134</v>
      </c>
      <c r="K11" s="843">
        <f>H11*$K$5</f>
        <v>102.20910457545693</v>
      </c>
      <c r="L11" s="1323"/>
      <c r="M11" s="20" t="str">
        <f t="shared" ref="M11:M12" si="0">IF(L11&gt;0,AND(L11&gt;=J11,L11&lt;=K11),"")</f>
        <v/>
      </c>
      <c r="N11" s="21"/>
      <c r="O11" s="857">
        <f>IF(L11&gt;0,L11,H11)</f>
        <v>97.342004357578034</v>
      </c>
      <c r="P11" s="21"/>
      <c r="Q11" s="731"/>
      <c r="R11" s="731"/>
      <c r="S11" s="731"/>
      <c r="T11" s="731"/>
      <c r="U11" s="731"/>
      <c r="V11" s="731"/>
      <c r="W11" s="731"/>
      <c r="X11" s="731"/>
      <c r="Y11" s="21"/>
      <c r="Z11" s="837">
        <f>O11+SUM(Q11:X11)</f>
        <v>97.342004357578034</v>
      </c>
      <c r="AA11" s="24">
        <f>ROUND(Z11,2)</f>
        <v>97.34</v>
      </c>
      <c r="AB11" s="773" t="s">
        <v>246</v>
      </c>
      <c r="AC11" s="21"/>
    </row>
    <row r="12" spans="1:30" s="71" customFormat="1">
      <c r="A12" s="814" t="s">
        <v>549</v>
      </c>
      <c r="B12" s="814" t="s">
        <v>246</v>
      </c>
      <c r="C12" s="1041"/>
      <c r="D12" s="841">
        <f>'TAR_Tab 2_Volumina'!AF12</f>
        <v>572.99101894035516</v>
      </c>
      <c r="E12" s="1041"/>
      <c r="F12" s="848">
        <v>99.956891754211171</v>
      </c>
      <c r="G12" s="849">
        <f>F12*$G$5</f>
        <v>95.118978193307356</v>
      </c>
      <c r="H12" s="850">
        <f>G12*$H$5</f>
        <v>97.342004357578034</v>
      </c>
      <c r="I12" s="1041"/>
      <c r="J12" s="844">
        <f>H12*$J$5</f>
        <v>92.474904139699134</v>
      </c>
      <c r="K12" s="844">
        <f>H12*$K$5</f>
        <v>102.20910457545693</v>
      </c>
      <c r="L12" s="1324"/>
      <c r="M12" s="815" t="str">
        <f t="shared" si="0"/>
        <v/>
      </c>
      <c r="N12" s="1052"/>
      <c r="O12" s="858">
        <f>IF(L12&gt;0,L12,H12)</f>
        <v>97.342004357578034</v>
      </c>
      <c r="P12" s="1052"/>
      <c r="Q12" s="816"/>
      <c r="R12" s="816"/>
      <c r="S12" s="816"/>
      <c r="T12" s="816"/>
      <c r="U12" s="816"/>
      <c r="V12" s="816"/>
      <c r="W12" s="816"/>
      <c r="X12" s="731"/>
      <c r="Y12" s="1043"/>
      <c r="Z12" s="837">
        <f>O12+SUM(Q12:X12)</f>
        <v>97.342004357578034</v>
      </c>
      <c r="AA12" s="817">
        <f>ROUND(Z12,2)</f>
        <v>97.34</v>
      </c>
      <c r="AB12" s="814" t="s">
        <v>246</v>
      </c>
      <c r="AC12" s="72"/>
      <c r="AD12" s="76"/>
    </row>
    <row r="13" spans="1:30" s="71" customFormat="1">
      <c r="A13" s="820"/>
      <c r="B13" s="820"/>
      <c r="C13" s="972"/>
      <c r="D13" s="827"/>
      <c r="E13" s="972"/>
      <c r="F13" s="821"/>
      <c r="G13" s="822"/>
      <c r="H13" s="823"/>
      <c r="I13" s="972"/>
      <c r="J13" s="824"/>
      <c r="K13" s="824"/>
      <c r="L13" s="825"/>
      <c r="M13" s="826"/>
      <c r="N13" s="72"/>
      <c r="O13" s="828"/>
      <c r="P13" s="72"/>
      <c r="Q13" s="829"/>
      <c r="R13" s="829"/>
      <c r="S13" s="829"/>
      <c r="T13" s="829"/>
      <c r="U13" s="829"/>
      <c r="V13" s="829"/>
      <c r="W13" s="829"/>
      <c r="X13" s="829"/>
      <c r="Y13" s="72"/>
      <c r="Z13" s="859"/>
      <c r="AA13" s="830"/>
      <c r="AB13" s="820"/>
      <c r="AC13" s="72"/>
    </row>
    <row r="14" spans="1:30" s="80" customFormat="1">
      <c r="A14" s="818" t="s">
        <v>533</v>
      </c>
      <c r="B14" s="818" t="s">
        <v>626</v>
      </c>
      <c r="C14" s="1041"/>
      <c r="D14" s="838">
        <f>'TAR_Tab 2_Volumina'!AF16</f>
        <v>658639786.73023987</v>
      </c>
      <c r="E14" s="1041"/>
      <c r="F14" s="851">
        <v>4.7088256509625871E-2</v>
      </c>
      <c r="G14" s="852">
        <f>F14*$G$6</f>
        <v>4.4809184894559977E-2</v>
      </c>
      <c r="H14" s="853">
        <f>G14*H6</f>
        <v>4.7235138895064213E-2</v>
      </c>
      <c r="I14" s="1041"/>
      <c r="J14" s="831"/>
      <c r="K14" s="831"/>
      <c r="L14" s="832"/>
      <c r="M14" s="833"/>
      <c r="O14" s="1049">
        <f>H14</f>
        <v>4.7235138895064213E-2</v>
      </c>
      <c r="Q14" s="1051"/>
      <c r="R14" s="1047">
        <f>R6*$O14</f>
        <v>2.1541731545739345E-3</v>
      </c>
      <c r="S14" s="1047">
        <f t="shared" ref="S14:X14" si="1">S6*$O14</f>
        <v>0</v>
      </c>
      <c r="T14" s="1047">
        <f t="shared" si="1"/>
        <v>8.4708691163091457E-5</v>
      </c>
      <c r="U14" s="1047">
        <f t="shared" si="1"/>
        <v>2.648541281394726E-3</v>
      </c>
      <c r="V14" s="1047">
        <f t="shared" si="1"/>
        <v>-7.986386119765293E-4</v>
      </c>
      <c r="W14" s="1047">
        <f t="shared" si="1"/>
        <v>-8.5546501646547213E-4</v>
      </c>
      <c r="X14" s="1047">
        <f t="shared" si="1"/>
        <v>5.9561542604404084E-5</v>
      </c>
      <c r="Y14" s="89"/>
      <c r="Z14" s="860">
        <f>O14+SUM(Q14:X14)</f>
        <v>5.0528019936358366E-2</v>
      </c>
      <c r="AA14" s="819">
        <f>ROUND(Z14,3)</f>
        <v>5.0999999999999997E-2</v>
      </c>
      <c r="AB14" s="773" t="s">
        <v>624</v>
      </c>
      <c r="AC14" s="89"/>
    </row>
    <row r="15" spans="1:30" s="80" customFormat="1">
      <c r="A15" s="773" t="s">
        <v>247</v>
      </c>
      <c r="B15" s="773" t="s">
        <v>626</v>
      </c>
      <c r="C15" s="1041"/>
      <c r="D15" s="839">
        <f>'TAR_Tab 2_Volumina'!AF17</f>
        <v>658639786.73023987</v>
      </c>
      <c r="E15" s="1041"/>
      <c r="F15" s="742">
        <v>0.12170333412272211</v>
      </c>
      <c r="G15" s="845">
        <f>F15*$G$7</f>
        <v>0.11134638038887847</v>
      </c>
      <c r="H15" s="854">
        <f>G15*H7</f>
        <v>0.11737463547947391</v>
      </c>
      <c r="I15" s="1041"/>
      <c r="J15" s="834"/>
      <c r="K15" s="834"/>
      <c r="L15" s="835"/>
      <c r="M15" s="836"/>
      <c r="O15" s="1050">
        <f>H15</f>
        <v>0.11737463547947391</v>
      </c>
      <c r="Q15" s="1048"/>
      <c r="R15" s="1047">
        <f t="shared" ref="R15:X15" si="2">R7*$O15</f>
        <v>7.0544956753676481E-3</v>
      </c>
      <c r="S15" s="1047">
        <f t="shared" si="2"/>
        <v>0</v>
      </c>
      <c r="T15" s="1051"/>
      <c r="U15" s="1047">
        <f t="shared" si="2"/>
        <v>5.8396836057334096E-3</v>
      </c>
      <c r="V15" s="1047">
        <f t="shared" si="2"/>
        <v>-8.6193504027539335E-4</v>
      </c>
      <c r="W15" s="1051"/>
      <c r="X15" s="1047">
        <f t="shared" si="2"/>
        <v>0</v>
      </c>
      <c r="Z15" s="860">
        <f>O15+SUM(Q15:X15)</f>
        <v>0.12940687972029957</v>
      </c>
      <c r="AA15" s="592">
        <f>ROUND(Z15,3)</f>
        <v>0.129</v>
      </c>
      <c r="AB15" s="773" t="s">
        <v>624</v>
      </c>
    </row>
    <row r="16" spans="1:30" s="80" customFormat="1">
      <c r="A16" s="773" t="s">
        <v>564</v>
      </c>
      <c r="B16" s="773" t="s">
        <v>627</v>
      </c>
      <c r="C16" s="1041"/>
      <c r="D16" s="839">
        <f>'TAR_Tab 2_Volumina'!AF18</f>
        <v>274746354</v>
      </c>
      <c r="E16" s="1041"/>
      <c r="F16" s="855">
        <v>0.11605558530927139</v>
      </c>
      <c r="G16" s="845">
        <f>F16*$G$8</f>
        <v>0.10935917803692644</v>
      </c>
      <c r="H16" s="856">
        <f>G16*H8</f>
        <v>0.17662193364394321</v>
      </c>
      <c r="I16" s="1041"/>
      <c r="J16" s="834"/>
      <c r="K16" s="834"/>
      <c r="L16" s="835"/>
      <c r="M16" s="836"/>
      <c r="O16" s="1050">
        <f>H16</f>
        <v>0.17662193364394321</v>
      </c>
      <c r="Q16" s="445">
        <f>O16*Q8</f>
        <v>0.14228289016302437</v>
      </c>
      <c r="R16" s="1047">
        <f t="shared" ref="R16:X16" si="3">R8*$O16</f>
        <v>2.027229539952065E-3</v>
      </c>
      <c r="S16" s="1051"/>
      <c r="T16" s="1051"/>
      <c r="U16" s="1047">
        <f t="shared" si="3"/>
        <v>1.0362755428793821E-2</v>
      </c>
      <c r="V16" s="1047">
        <f t="shared" si="3"/>
        <v>-3.0748806035263494E-3</v>
      </c>
      <c r="W16" s="1051"/>
      <c r="X16" s="1047">
        <f t="shared" si="3"/>
        <v>0</v>
      </c>
      <c r="Z16" s="860">
        <f>O16+SUM(Q16:X16)</f>
        <v>0.32821992817218715</v>
      </c>
      <c r="AA16" s="592">
        <f>ROUND(Z16,3)</f>
        <v>0.32800000000000001</v>
      </c>
      <c r="AB16" s="773" t="s">
        <v>624</v>
      </c>
      <c r="AD16" s="71"/>
    </row>
    <row r="18" spans="4:18">
      <c r="D18" s="73"/>
      <c r="J18" s="71"/>
      <c r="K18" s="71"/>
      <c r="L18" s="71"/>
      <c r="M18" s="71"/>
    </row>
    <row r="19" spans="4:18" s="101" customFormat="1">
      <c r="D19" s="73"/>
      <c r="K19" s="71"/>
      <c r="L19" s="71"/>
      <c r="M19" s="71"/>
    </row>
    <row r="20" spans="4:18">
      <c r="K20" s="71"/>
      <c r="L20" s="71"/>
      <c r="M20" s="71"/>
    </row>
    <row r="21" spans="4:18">
      <c r="K21" s="71"/>
      <c r="L21" s="71"/>
      <c r="M21" s="205"/>
    </row>
    <row r="22" spans="4:18">
      <c r="R22" s="80" t="s">
        <v>513</v>
      </c>
    </row>
    <row r="26" spans="4:18" s="101" customFormat="1">
      <c r="D26" s="21"/>
    </row>
    <row r="27" spans="4:18" s="101" customFormat="1">
      <c r="D27" s="21"/>
    </row>
    <row r="29" spans="4:18" ht="12" customHeight="1"/>
    <row r="34" spans="1:10">
      <c r="A34" s="589"/>
      <c r="B34" s="589"/>
      <c r="C34" s="589"/>
      <c r="E34" s="589"/>
      <c r="F34" s="589"/>
      <c r="G34" s="590"/>
      <c r="H34" s="591"/>
      <c r="I34" s="589"/>
      <c r="J34" s="573"/>
    </row>
    <row r="35" spans="1:10">
      <c r="A35" s="589"/>
      <c r="B35" s="589"/>
      <c r="C35" s="589"/>
      <c r="E35" s="589"/>
      <c r="F35" s="589"/>
      <c r="G35" s="590"/>
      <c r="H35" s="591"/>
      <c r="I35" s="589"/>
      <c r="J35" s="573"/>
    </row>
    <row r="36" spans="1:10">
      <c r="A36" s="589"/>
      <c r="B36" s="589"/>
      <c r="C36" s="589"/>
      <c r="E36" s="589"/>
      <c r="F36" s="589"/>
      <c r="G36" s="590"/>
      <c r="H36" s="591"/>
      <c r="I36" s="589"/>
      <c r="J36" s="573"/>
    </row>
    <row r="37" spans="1:10">
      <c r="A37" s="589"/>
      <c r="B37" s="574"/>
      <c r="C37" s="574"/>
      <c r="E37" s="574"/>
      <c r="F37" s="575"/>
      <c r="G37" s="590"/>
      <c r="H37" s="591"/>
      <c r="I37" s="574"/>
      <c r="J37" s="573"/>
    </row>
    <row r="38" spans="1:10">
      <c r="A38" s="589"/>
      <c r="B38" s="574"/>
      <c r="C38" s="574"/>
      <c r="E38" s="574"/>
      <c r="F38" s="575"/>
      <c r="G38" s="590"/>
      <c r="H38" s="591"/>
      <c r="I38" s="574"/>
      <c r="J38" s="573"/>
    </row>
  </sheetData>
  <mergeCells count="4">
    <mergeCell ref="F3:H3"/>
    <mergeCell ref="Q3:X3"/>
    <mergeCell ref="Z3:AB3"/>
    <mergeCell ref="J3:M3"/>
  </mergeCells>
  <phoneticPr fontId="0" type="noConversion"/>
  <conditionalFormatting sqref="F10">
    <cfRule type="containsErrors" dxfId="5" priority="4">
      <formula>ISERROR(F10)</formula>
    </cfRule>
    <cfRule type="cellIs" dxfId="4" priority="5" operator="equal">
      <formula>#N/A</formula>
    </cfRule>
    <cfRule type="cellIs" dxfId="3" priority="6" operator="equal">
      <formula>#N/A</formula>
    </cfRule>
  </conditionalFormatting>
  <conditionalFormatting sqref="F15">
    <cfRule type="containsErrors" dxfId="2" priority="1">
      <formula>ISERROR(F15)</formula>
    </cfRule>
    <cfRule type="cellIs" dxfId="1" priority="2" operator="equal">
      <formula>#N/A</formula>
    </cfRule>
    <cfRule type="cellIs" dxfId="0" priority="3" operator="equal">
      <formula>#N/A</formula>
    </cfRule>
  </conditionalFormatting>
  <pageMargins left="0.75" right="0.75" top="1" bottom="1" header="0.5" footer="0.5"/>
  <pageSetup paperSize="9" scale="28" orientation="landscape" r:id="rId1"/>
  <headerFooter alignWithMargins="0">
    <oddFooter>&amp;LEnergiekamer NMa&amp;R&amp;F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showGridLines="0" zoomScale="70" zoomScaleNormal="70" zoomScaleSheetLayoutView="70" workbookViewId="0"/>
  </sheetViews>
  <sheetFormatPr defaultRowHeight="12.75"/>
  <cols>
    <col min="1" max="1" width="14" customWidth="1"/>
    <col min="2" max="2" width="40.5703125" bestFit="1" customWidth="1"/>
    <col min="3" max="3" width="15.85546875" style="101" customWidth="1"/>
    <col min="4" max="4" width="2.140625" style="101" customWidth="1"/>
    <col min="5" max="5" width="20.5703125" customWidth="1"/>
    <col min="6" max="6" width="2.140625" style="101" customWidth="1"/>
    <col min="7" max="7" width="18.42578125" customWidth="1"/>
    <col min="8" max="8" width="21.7109375" style="101" customWidth="1"/>
    <col min="9" max="9" width="22.85546875" customWidth="1"/>
    <col min="10" max="10" width="2.28515625" style="101" customWidth="1"/>
    <col min="11" max="11" width="17.42578125" customWidth="1"/>
    <col min="12" max="12" width="14.5703125" customWidth="1"/>
    <col min="13" max="13" width="16.7109375" customWidth="1"/>
    <col min="14" max="14" width="2.28515625" style="101" customWidth="1"/>
    <col min="15" max="15" width="16.7109375" style="101" customWidth="1"/>
    <col min="16" max="16" width="19.7109375" customWidth="1"/>
    <col min="30" max="30" width="30.5703125" bestFit="1" customWidth="1"/>
  </cols>
  <sheetData>
    <row r="1" spans="1:29" ht="23.25">
      <c r="A1" s="9" t="s">
        <v>943</v>
      </c>
      <c r="B1" s="744"/>
      <c r="C1" s="1140"/>
      <c r="D1" s="968"/>
      <c r="E1" s="744"/>
      <c r="F1" s="799"/>
      <c r="G1" s="744"/>
      <c r="H1" s="867"/>
      <c r="I1" s="419"/>
      <c r="J1" s="799"/>
      <c r="K1" s="744"/>
      <c r="L1" s="744"/>
      <c r="M1" s="744"/>
      <c r="N1" s="968"/>
      <c r="O1" s="968"/>
      <c r="P1" s="652" t="s">
        <v>143</v>
      </c>
      <c r="Q1" s="767"/>
      <c r="R1" s="767"/>
      <c r="S1" s="767"/>
      <c r="T1" s="767"/>
      <c r="U1" s="767"/>
      <c r="V1" s="767"/>
      <c r="W1" s="767"/>
      <c r="X1" s="767"/>
      <c r="Y1" s="767"/>
      <c r="Z1" s="767"/>
      <c r="AA1" s="767"/>
      <c r="AB1" s="51"/>
      <c r="AC1" s="51"/>
    </row>
    <row r="3" spans="1:29" s="101" customFormat="1" ht="21.75" customHeight="1">
      <c r="A3" s="759" t="s">
        <v>144</v>
      </c>
      <c r="B3" s="759" t="s">
        <v>145</v>
      </c>
      <c r="C3" s="759" t="s">
        <v>1124</v>
      </c>
      <c r="D3" s="1087"/>
      <c r="E3" s="760" t="s">
        <v>1061</v>
      </c>
      <c r="F3" s="1087"/>
      <c r="G3" s="1453" t="s">
        <v>1029</v>
      </c>
      <c r="H3" s="1453"/>
      <c r="I3" s="1453"/>
      <c r="J3" s="1087"/>
      <c r="K3" s="1451" t="s">
        <v>989</v>
      </c>
      <c r="L3" s="1451"/>
      <c r="M3" s="1451"/>
      <c r="N3" s="1087"/>
      <c r="O3" s="1454" t="s">
        <v>968</v>
      </c>
      <c r="P3" s="1454"/>
    </row>
    <row r="4" spans="1:29" ht="40.5" customHeight="1">
      <c r="A4" s="1089"/>
      <c r="B4" s="1089"/>
      <c r="C4" s="1089"/>
      <c r="E4" s="1078" t="s">
        <v>1064</v>
      </c>
      <c r="G4" s="1086" t="s">
        <v>963</v>
      </c>
      <c r="H4" s="1086" t="s">
        <v>1062</v>
      </c>
      <c r="I4" s="1086" t="s">
        <v>1063</v>
      </c>
      <c r="K4" s="1005" t="s">
        <v>990</v>
      </c>
      <c r="L4" s="1005" t="s">
        <v>727</v>
      </c>
      <c r="M4" s="1005" t="s">
        <v>991</v>
      </c>
      <c r="O4" s="1005" t="s">
        <v>995</v>
      </c>
      <c r="P4" s="1005" t="s">
        <v>996</v>
      </c>
    </row>
    <row r="5" spans="1:29" s="21" customFormat="1" ht="17.25" customHeight="1">
      <c r="A5" s="762"/>
      <c r="B5" s="762"/>
      <c r="C5" s="762"/>
      <c r="D5" s="806"/>
      <c r="E5" s="763"/>
      <c r="F5" s="806"/>
      <c r="G5" s="1349"/>
      <c r="H5" s="896">
        <f>'TAR-Tab 10_incidenteel'!G44</f>
        <v>0</v>
      </c>
      <c r="I5" s="764"/>
      <c r="J5" s="806"/>
      <c r="K5" s="575"/>
      <c r="L5" s="380"/>
      <c r="M5" s="380"/>
      <c r="N5" s="806"/>
      <c r="O5" s="380"/>
      <c r="P5" s="763"/>
    </row>
    <row r="6" spans="1:29" ht="17.25" customHeight="1">
      <c r="A6" s="761"/>
      <c r="B6" s="759"/>
      <c r="C6" s="759"/>
      <c r="D6" s="1088"/>
      <c r="E6" s="1090" t="s">
        <v>620</v>
      </c>
      <c r="F6" s="1091"/>
      <c r="G6" s="1092" t="s">
        <v>620</v>
      </c>
      <c r="H6" s="1092" t="s">
        <v>620</v>
      </c>
      <c r="I6" s="1092" t="s">
        <v>620</v>
      </c>
      <c r="J6" s="1091"/>
      <c r="K6" s="1130" t="s">
        <v>620</v>
      </c>
      <c r="L6" s="1130" t="s">
        <v>621</v>
      </c>
      <c r="M6" s="1005" t="s">
        <v>624</v>
      </c>
      <c r="N6" s="1091"/>
      <c r="O6" s="1005"/>
      <c r="P6" s="1090" t="s">
        <v>624</v>
      </c>
    </row>
    <row r="7" spans="1:29">
      <c r="A7" s="768">
        <f>'TAR_Tab 6_NPD'!A56</f>
        <v>301454</v>
      </c>
      <c r="B7" s="769" t="str">
        <f>'TAR_Tab 6_NPD'!B56</f>
        <v>MAASVLAKTE Q16 ORANJE NASSAU (ONE)</v>
      </c>
      <c r="C7" s="1145" t="str">
        <f>'TAR_Tab 2_Volumina'!AE22</f>
        <v>Entry</v>
      </c>
      <c r="D7" s="807"/>
      <c r="E7" s="1352"/>
      <c r="F7" s="807"/>
      <c r="G7" s="1350"/>
      <c r="H7" s="1129">
        <f>E7*$H$5</f>
        <v>0</v>
      </c>
      <c r="I7" s="1347"/>
      <c r="J7" s="807"/>
      <c r="K7" s="1346"/>
      <c r="L7" s="1344"/>
      <c r="M7" s="771">
        <v>9.3194777566854667E-2</v>
      </c>
      <c r="N7" s="807"/>
      <c r="O7" s="771">
        <f>M7</f>
        <v>9.3194777566854667E-2</v>
      </c>
      <c r="P7" s="772">
        <f>ROUND(O7,3)</f>
        <v>9.2999999999999999E-2</v>
      </c>
    </row>
    <row r="8" spans="1:29">
      <c r="A8" s="758">
        <f>'TAR_Tab 6_NPD'!A57</f>
        <v>301468</v>
      </c>
      <c r="B8" s="757" t="str">
        <f>'TAR_Tab 6_NPD'!B57</f>
        <v>HEMRIK/DONKERBROEK (TULIP OIL)</v>
      </c>
      <c r="C8" s="1145" t="str">
        <f>'TAR_Tab 2_Volumina'!AE23</f>
        <v>Entry</v>
      </c>
      <c r="D8" s="807"/>
      <c r="E8" s="1353"/>
      <c r="F8" s="807"/>
      <c r="G8" s="1351"/>
      <c r="H8" s="1129">
        <f t="shared" ref="H8:H10" si="0">E8*$H$5</f>
        <v>0</v>
      </c>
      <c r="I8" s="1348"/>
      <c r="J8" s="807"/>
      <c r="K8" s="1340"/>
      <c r="L8" s="1345"/>
      <c r="M8" s="425">
        <v>0.16409904160393912</v>
      </c>
      <c r="N8" s="807"/>
      <c r="O8" s="771">
        <f>M8</f>
        <v>0.16409904160393912</v>
      </c>
      <c r="P8" s="772">
        <f>ROUND(O8,3)</f>
        <v>0.16400000000000001</v>
      </c>
    </row>
    <row r="9" spans="1:29">
      <c r="A9" s="758">
        <f>'TAR_Tab 6_NPD'!A58</f>
        <v>301348</v>
      </c>
      <c r="B9" s="757" t="str">
        <f>'TAR_Tab 6_NPD'!B58</f>
        <v>BERGERMEER (TAQA-UGS)</v>
      </c>
      <c r="C9" s="1145" t="str">
        <f>'TAR_Tab 2_Volumina'!AE24</f>
        <v>Entry</v>
      </c>
      <c r="D9" s="807"/>
      <c r="E9" s="1353"/>
      <c r="F9" s="807"/>
      <c r="G9" s="1351"/>
      <c r="H9" s="1129">
        <f t="shared" si="0"/>
        <v>0</v>
      </c>
      <c r="I9" s="1347"/>
      <c r="J9" s="807"/>
      <c r="K9" s="1340"/>
      <c r="L9" s="1345"/>
      <c r="M9" s="425">
        <v>2.020660307783376E-2</v>
      </c>
      <c r="N9" s="807"/>
      <c r="O9" s="771">
        <f>M9</f>
        <v>2.020660307783376E-2</v>
      </c>
      <c r="P9" s="772">
        <f>ROUND(O9,3)</f>
        <v>0.02</v>
      </c>
    </row>
    <row r="10" spans="1:29">
      <c r="A10" s="758">
        <f>'TAR_Tab 6_NPD'!A59</f>
        <v>301391</v>
      </c>
      <c r="B10" s="757" t="str">
        <f>'TAR_Tab 6_NPD'!B59</f>
        <v>OUDE STATENZIJL (ASTORA JEMGUM)</v>
      </c>
      <c r="C10" s="1145" t="str">
        <f>'TAR_Tab 2_Volumina'!AE25</f>
        <v>Entry</v>
      </c>
      <c r="D10" s="807"/>
      <c r="E10" s="1353"/>
      <c r="F10" s="807"/>
      <c r="G10" s="1351"/>
      <c r="H10" s="1129">
        <f t="shared" si="0"/>
        <v>0</v>
      </c>
      <c r="I10" s="1347"/>
      <c r="J10" s="807"/>
      <c r="K10" s="1340"/>
      <c r="L10" s="1345"/>
      <c r="M10" s="425">
        <v>0.38032073664356419</v>
      </c>
      <c r="N10" s="807"/>
      <c r="O10" s="771">
        <f>M10</f>
        <v>0.38032073664356419</v>
      </c>
      <c r="P10" s="772">
        <f>ROUND(O10,3)</f>
        <v>0.38</v>
      </c>
    </row>
  </sheetData>
  <mergeCells count="3">
    <mergeCell ref="G3:I3"/>
    <mergeCell ref="K3:M3"/>
    <mergeCell ref="O3:P3"/>
  </mergeCells>
  <pageMargins left="0.7" right="0.7" top="0.75" bottom="0.75" header="0.3" footer="0.3"/>
  <pageSetup paperSize="9" scale="3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80"/>
  </sheetPr>
  <dimension ref="A1"/>
  <sheetViews>
    <sheetView showGridLines="0" view="pageBreakPreview" zoomScale="70" zoomScaleNormal="70" zoomScaleSheetLayoutView="70" workbookViewId="0"/>
  </sheetViews>
  <sheetFormatPr defaultRowHeight="12.7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01"/>
  <sheetViews>
    <sheetView showGridLines="0" zoomScale="70" zoomScaleNormal="70" zoomScaleSheetLayoutView="70" workbookViewId="0">
      <selection sqref="A1:Q1"/>
    </sheetView>
  </sheetViews>
  <sheetFormatPr defaultRowHeight="12.75"/>
  <cols>
    <col min="1" max="1" width="68.7109375" customWidth="1"/>
    <col min="2" max="2" width="14" customWidth="1"/>
    <col min="3" max="3" width="15.140625" customWidth="1"/>
    <col min="4" max="4" width="16.42578125" customWidth="1"/>
    <col min="5" max="5" width="14.5703125" customWidth="1"/>
    <col min="6" max="6" width="15" customWidth="1"/>
    <col min="8" max="8" width="13.5703125" customWidth="1"/>
    <col min="9" max="9" width="12" bestFit="1" customWidth="1"/>
    <col min="12" max="16384" width="9.140625" style="21"/>
  </cols>
  <sheetData>
    <row r="1" spans="1:33" s="11" customFormat="1" ht="23.25" customHeight="1">
      <c r="A1" s="1416" t="s">
        <v>14</v>
      </c>
      <c r="B1" s="1417"/>
      <c r="C1" s="1417"/>
      <c r="D1" s="1417"/>
      <c r="E1" s="1417"/>
      <c r="F1" s="1417"/>
      <c r="G1" s="1417"/>
      <c r="H1" s="1417"/>
      <c r="I1" s="1417"/>
      <c r="J1" s="1417"/>
      <c r="K1" s="1417"/>
      <c r="L1" s="1417"/>
      <c r="M1" s="1417"/>
      <c r="N1" s="1417"/>
      <c r="O1" s="1417"/>
      <c r="P1" s="1417"/>
      <c r="Q1" s="1417"/>
      <c r="R1" s="419"/>
      <c r="S1" s="419"/>
      <c r="T1" s="419"/>
      <c r="U1" s="419"/>
    </row>
    <row r="3" spans="1:33" s="89" customFormat="1">
      <c r="A3" s="32" t="s">
        <v>455</v>
      </c>
      <c r="B3" s="55"/>
      <c r="C3" s="55">
        <v>2001</v>
      </c>
      <c r="D3" s="55">
        <v>2002</v>
      </c>
      <c r="E3" s="55">
        <v>2003</v>
      </c>
      <c r="F3" s="55">
        <v>2004</v>
      </c>
      <c r="G3" s="55">
        <v>2005</v>
      </c>
      <c r="H3" s="55">
        <v>2006</v>
      </c>
      <c r="I3" s="55">
        <v>2007</v>
      </c>
      <c r="J3" s="55">
        <v>2008</v>
      </c>
      <c r="K3" s="55">
        <v>2009</v>
      </c>
      <c r="L3" s="55">
        <v>2010</v>
      </c>
      <c r="M3" s="55">
        <v>2011</v>
      </c>
      <c r="N3" s="55">
        <v>2012</v>
      </c>
      <c r="O3" s="55">
        <v>2013</v>
      </c>
      <c r="P3" s="55">
        <v>2014</v>
      </c>
      <c r="Q3" s="494">
        <v>2015</v>
      </c>
      <c r="R3" s="55">
        <v>2016</v>
      </c>
      <c r="S3" s="801" t="s">
        <v>927</v>
      </c>
      <c r="T3" s="800" t="s">
        <v>928</v>
      </c>
      <c r="U3" s="233"/>
      <c r="V3" s="233"/>
      <c r="W3" s="233"/>
      <c r="X3" s="233"/>
      <c r="Y3" s="233"/>
      <c r="Z3" s="233"/>
      <c r="AA3" s="233"/>
      <c r="AB3" s="233"/>
      <c r="AC3" s="233"/>
      <c r="AD3" s="233"/>
      <c r="AE3" s="233"/>
      <c r="AF3" s="233"/>
      <c r="AG3" s="233"/>
    </row>
    <row r="4" spans="1:33" s="89" customFormat="1">
      <c r="A4" s="337" t="s">
        <v>450</v>
      </c>
      <c r="B4" s="80"/>
      <c r="C4" s="80"/>
      <c r="D4" s="80"/>
      <c r="E4" s="80"/>
      <c r="F4" s="80"/>
      <c r="G4" s="37">
        <v>0.05</v>
      </c>
      <c r="H4" s="37">
        <v>3.5000000000000003E-2</v>
      </c>
      <c r="I4" s="37">
        <v>4.7E-2</v>
      </c>
      <c r="J4" s="37">
        <v>5.2999999999999999E-2</v>
      </c>
      <c r="K4" s="37">
        <v>4.9000000000000002E-2</v>
      </c>
      <c r="L4" s="37">
        <v>2.5000000000000001E-2</v>
      </c>
      <c r="M4" s="37">
        <v>2.5000000000000001E-2</v>
      </c>
      <c r="N4" s="37">
        <v>2.8500000000000001E-2</v>
      </c>
      <c r="O4" s="260">
        <v>0.03</v>
      </c>
      <c r="P4" s="261">
        <v>0.03</v>
      </c>
      <c r="Q4" s="624">
        <v>0.04</v>
      </c>
      <c r="R4" s="1105">
        <v>0.04</v>
      </c>
    </row>
    <row r="5" spans="1:33" s="89" customFormat="1">
      <c r="A5" s="337" t="s">
        <v>451</v>
      </c>
      <c r="B5" s="80"/>
      <c r="C5" s="80"/>
      <c r="D5" s="80"/>
      <c r="E5" s="80"/>
      <c r="F5" s="80"/>
      <c r="G5" s="37">
        <v>0.05</v>
      </c>
      <c r="H5" s="37">
        <v>3.7499999999999999E-2</v>
      </c>
      <c r="I5" s="37">
        <v>0.05</v>
      </c>
      <c r="J5" s="37">
        <v>4.7500000000000001E-2</v>
      </c>
      <c r="K5" s="37">
        <v>3.5000000000000003E-2</v>
      </c>
      <c r="L5" s="37">
        <v>2.5000000000000001E-2</v>
      </c>
      <c r="M5" s="37">
        <v>2.5000000000000001E-2</v>
      </c>
      <c r="N5" s="37">
        <v>2.3E-2</v>
      </c>
      <c r="O5" s="260">
        <v>0.03</v>
      </c>
      <c r="P5" s="397">
        <v>0.04</v>
      </c>
      <c r="Q5" s="624">
        <v>0.04</v>
      </c>
      <c r="R5" s="1105">
        <v>0.04</v>
      </c>
    </row>
    <row r="6" spans="1:33" s="89" customFormat="1">
      <c r="A6" s="337" t="s">
        <v>452</v>
      </c>
      <c r="B6" s="80"/>
      <c r="C6" s="80"/>
      <c r="D6" s="80"/>
      <c r="E6" s="80"/>
      <c r="F6" s="80"/>
      <c r="G6" s="37">
        <v>0.05</v>
      </c>
      <c r="H6" s="37">
        <v>0.04</v>
      </c>
      <c r="I6" s="37">
        <v>5.2499999999999998E-2</v>
      </c>
      <c r="J6" s="37">
        <v>5.1499999999999997E-2</v>
      </c>
      <c r="K6" s="37">
        <v>2.75E-2</v>
      </c>
      <c r="L6" s="37">
        <v>2.5000000000000001E-2</v>
      </c>
      <c r="M6" s="37">
        <v>2.75E-2</v>
      </c>
      <c r="N6" s="37">
        <v>2.5000000000000001E-2</v>
      </c>
      <c r="O6" s="261">
        <v>0.03</v>
      </c>
      <c r="P6" s="260">
        <v>0.04</v>
      </c>
      <c r="Q6" s="1105">
        <v>0.04</v>
      </c>
      <c r="R6" s="423"/>
    </row>
    <row r="7" spans="1:33" s="89" customFormat="1">
      <c r="A7" s="337" t="s">
        <v>453</v>
      </c>
      <c r="B7" s="80"/>
      <c r="C7" s="80"/>
      <c r="D7" s="80"/>
      <c r="E7" s="80"/>
      <c r="F7" s="80"/>
      <c r="G7" s="37">
        <v>0.05</v>
      </c>
      <c r="H7" s="37">
        <v>4.2500000000000003E-2</v>
      </c>
      <c r="I7" s="37">
        <v>5.3999999999999999E-2</v>
      </c>
      <c r="J7" s="37">
        <v>5.45E-2</v>
      </c>
      <c r="K7" s="37">
        <v>2.5000000000000001E-2</v>
      </c>
      <c r="L7" s="37">
        <v>2.5000000000000001E-2</v>
      </c>
      <c r="M7" s="37">
        <v>0.03</v>
      </c>
      <c r="N7" s="261">
        <v>2.2499999999999999E-2</v>
      </c>
      <c r="O7" s="261">
        <v>0.03</v>
      </c>
      <c r="P7" s="260">
        <v>0.04</v>
      </c>
      <c r="Q7" s="1105">
        <v>0.04</v>
      </c>
      <c r="R7" s="423"/>
    </row>
    <row r="8" spans="1:33" s="89" customFormat="1">
      <c r="A8" s="337"/>
      <c r="B8" s="80"/>
      <c r="C8" s="80"/>
      <c r="D8" s="80"/>
      <c r="E8" s="80"/>
      <c r="F8" s="80"/>
      <c r="G8" s="216"/>
      <c r="H8" s="216"/>
      <c r="I8" s="216"/>
      <c r="J8" s="216"/>
      <c r="K8" s="216"/>
      <c r="L8" s="216"/>
      <c r="M8" s="216"/>
      <c r="N8" s="216"/>
      <c r="O8" s="216"/>
      <c r="P8" s="228"/>
    </row>
    <row r="9" spans="1:33" s="89" customFormat="1">
      <c r="A9" s="337" t="s">
        <v>454</v>
      </c>
      <c r="B9" s="80"/>
      <c r="C9" s="80"/>
      <c r="D9" s="80"/>
      <c r="E9" s="80"/>
      <c r="F9" s="80"/>
      <c r="G9" s="80"/>
      <c r="H9" s="223">
        <f t="shared" ref="H9:O9" si="0">(1+G6)^(0.25)*(1+G7)^(0.25)*(1+H4)^(0.25)*(1+H5)^(0.25)-1</f>
        <v>4.3101964518956981E-2</v>
      </c>
      <c r="I9" s="223">
        <f t="shared" si="0"/>
        <v>4.4867800771582589E-2</v>
      </c>
      <c r="J9" s="223">
        <f t="shared" si="0"/>
        <v>5.174699428832108E-2</v>
      </c>
      <c r="K9" s="223">
        <f t="shared" si="0"/>
        <v>4.7473211046523023E-2</v>
      </c>
      <c r="L9" s="223">
        <f t="shared" si="0"/>
        <v>2.5624429165615581E-2</v>
      </c>
      <c r="M9" s="223">
        <f t="shared" si="0"/>
        <v>2.5000000000000133E-2</v>
      </c>
      <c r="N9" s="223">
        <f t="shared" si="0"/>
        <v>2.7246679826693931E-2</v>
      </c>
      <c r="O9" s="338">
        <f t="shared" si="0"/>
        <v>2.6869862241643006E-2</v>
      </c>
      <c r="P9" s="223">
        <f>(1+O6)^(0.25)*(1+O7)^(0.25)*(1+P4)^(0.25)*(1+P5)^(0.25)-1</f>
        <v>3.2490949264880387E-2</v>
      </c>
      <c r="Q9" s="223">
        <f>(1+P6)^(0.25)*(1+P7)^(0.25)*(1+Q4)^(0.25)*(1+Q5)^(0.25)-1</f>
        <v>3.9999999999999591E-2</v>
      </c>
      <c r="R9" s="638">
        <f>(1+Q6)^(0.25)*(1+Q7)^(0.25)*(1+R4)^(0.25)*(1+R5)^(0.25)-1</f>
        <v>3.9999999999999591E-2</v>
      </c>
    </row>
    <row r="10" spans="1:33" s="89" customFormat="1">
      <c r="A10" s="129"/>
      <c r="B10" s="80"/>
      <c r="C10" s="80"/>
      <c r="D10" s="80"/>
      <c r="E10" s="80"/>
      <c r="F10" s="80"/>
      <c r="G10" s="108"/>
      <c r="H10" s="108"/>
      <c r="I10" s="108"/>
      <c r="J10" s="108"/>
      <c r="K10" s="108"/>
      <c r="L10" s="108"/>
      <c r="M10" s="108"/>
      <c r="N10" s="108"/>
      <c r="O10" s="216"/>
      <c r="P10" s="228"/>
    </row>
    <row r="11" spans="1:33" s="89" customFormat="1">
      <c r="A11" s="124" t="s">
        <v>850</v>
      </c>
      <c r="B11" s="80"/>
      <c r="C11" s="80"/>
      <c r="D11" s="80"/>
      <c r="E11" s="80"/>
      <c r="F11" s="80"/>
      <c r="G11" s="493">
        <f>(1+H9)*(1+I9)*(1+J9)*(1+K9)*(1+L9)*(1+M9)*(1+N9)*(1+O9)*(1+P9)*(1+Q9)*(1+R9)-1</f>
        <v>0.48695430199537371</v>
      </c>
      <c r="H11" s="493">
        <f>(1+I9)*(1+J9)*(1+K9)*(1+L9)*(1+M9)*(1+N9)*(1+O9)*(1+P9)*(1+Q9)*(1+R9)-1</f>
        <v>0.42551193706274559</v>
      </c>
      <c r="I11" s="493">
        <f>(1+J9)*(1+K9)*(1+L9)*(1+M9)*(1+N9)*(1+O9)*(1+P9)*(1+Q9)*(1+R9)-1</f>
        <v>0.36429884815100677</v>
      </c>
      <c r="J11" s="493">
        <f>(1+K9)*(1+L9)*(1+M9)*(1+N9)*(1+O9)*(1+P9)*(1+Q9)*(1+R9)-1</f>
        <v>0.29717399294701874</v>
      </c>
      <c r="K11" s="493">
        <f>(1+L9)*(1+M9)*(1+N9)*(1+O9)*(1+P9)*(1+Q9)*(1+R9)-1</f>
        <v>0.23838393122342594</v>
      </c>
      <c r="L11" s="493">
        <f>(1+M9)*(1+N9)*(1+O9)*(1+P9)*(1+Q9)*(1+R9)-1</f>
        <v>0.20744387127254593</v>
      </c>
      <c r="M11" s="493">
        <f>(1+N9)*(1+O9)*(1+P9)*(1+Q9)*(1+R9)-1</f>
        <v>0.17799402075370341</v>
      </c>
      <c r="N11" s="493">
        <f>(1+O9)*(1+P9)*(1+Q9)*(1+R9)-1</f>
        <v>0.14674892008649953</v>
      </c>
      <c r="O11" s="493">
        <f>(1+P9)*(1+Q9)*(1+R9)-1</f>
        <v>0.11674221072489366</v>
      </c>
      <c r="P11" s="493">
        <f>(1+Q9)*(1+R9)-1</f>
        <v>8.1599999999999229E-2</v>
      </c>
      <c r="Q11" s="493">
        <f>(1+R9)-1</f>
        <v>3.9999999999999591E-2</v>
      </c>
    </row>
    <row r="12" spans="1:33" s="89" customFormat="1">
      <c r="A12" s="185"/>
      <c r="B12" s="259"/>
      <c r="C12" s="259"/>
      <c r="D12" s="259"/>
      <c r="E12" s="259"/>
      <c r="F12" s="259"/>
      <c r="G12" s="259"/>
      <c r="H12" s="259"/>
      <c r="I12" s="259"/>
      <c r="J12" s="108"/>
      <c r="K12" s="80"/>
    </row>
    <row r="13" spans="1:33" s="89" customFormat="1">
      <c r="A13" s="32" t="s">
        <v>11</v>
      </c>
      <c r="B13" s="259"/>
      <c r="C13" s="80"/>
      <c r="D13" s="259"/>
      <c r="E13" s="259"/>
      <c r="F13" s="259"/>
      <c r="G13" s="259"/>
      <c r="H13" s="259"/>
      <c r="I13" s="259"/>
      <c r="J13" s="108"/>
      <c r="K13" s="80"/>
    </row>
    <row r="14" spans="1:33" s="89" customFormat="1">
      <c r="A14" s="185" t="s">
        <v>562</v>
      </c>
      <c r="B14" s="186">
        <v>5.8000000000000003E-2</v>
      </c>
      <c r="C14" s="339" t="s">
        <v>586</v>
      </c>
      <c r="D14" s="259"/>
      <c r="E14" s="259"/>
      <c r="F14" s="259"/>
      <c r="G14" s="259"/>
      <c r="H14" s="259"/>
      <c r="I14" s="259"/>
      <c r="J14" s="108"/>
      <c r="K14" s="80"/>
    </row>
    <row r="15" spans="1:33" s="89" customFormat="1">
      <c r="A15" s="185" t="s">
        <v>508</v>
      </c>
      <c r="B15" s="262">
        <v>3.5999999999999997E-2</v>
      </c>
      <c r="C15" s="340" t="s">
        <v>1097</v>
      </c>
      <c r="D15" s="259"/>
      <c r="E15" s="259"/>
      <c r="F15" s="259"/>
      <c r="G15" s="259"/>
      <c r="H15" s="259"/>
      <c r="I15" s="259"/>
      <c r="J15" s="108"/>
      <c r="K15" s="80"/>
    </row>
    <row r="16" spans="1:33" s="89" customFormat="1">
      <c r="A16" s="185"/>
      <c r="B16" s="259"/>
      <c r="C16" s="259"/>
      <c r="D16" s="259"/>
      <c r="E16" s="259"/>
      <c r="F16" s="259"/>
      <c r="G16" s="259"/>
      <c r="H16" s="259"/>
      <c r="I16" s="259"/>
      <c r="J16" s="108"/>
      <c r="K16" s="80"/>
    </row>
    <row r="17" spans="1:18" s="89" customFormat="1">
      <c r="A17" s="32" t="s">
        <v>12</v>
      </c>
      <c r="B17" s="259"/>
      <c r="C17" s="340" t="s">
        <v>874</v>
      </c>
      <c r="D17" s="259"/>
      <c r="E17" s="259"/>
      <c r="F17" s="106"/>
      <c r="G17" s="259"/>
      <c r="H17" s="259"/>
      <c r="I17" s="259"/>
      <c r="J17" s="108"/>
      <c r="K17" s="80"/>
    </row>
    <row r="18" spans="1:18" s="89" customFormat="1">
      <c r="A18" s="124" t="s">
        <v>509</v>
      </c>
      <c r="B18" s="262">
        <v>5.6399999999999999E-2</v>
      </c>
      <c r="C18" s="259"/>
      <c r="D18" s="259"/>
      <c r="E18" s="259"/>
      <c r="F18" s="259"/>
      <c r="G18" s="259"/>
      <c r="H18" s="259"/>
      <c r="I18" s="259"/>
      <c r="J18" s="108"/>
      <c r="K18" s="80"/>
    </row>
    <row r="19" spans="1:18" s="89" customFormat="1">
      <c r="A19" s="124" t="s">
        <v>511</v>
      </c>
      <c r="B19" s="262">
        <v>5.6399999999999999E-2</v>
      </c>
      <c r="C19" s="259"/>
      <c r="D19" s="259"/>
      <c r="E19" s="259"/>
      <c r="F19" s="259"/>
      <c r="G19" s="259"/>
      <c r="H19" s="259"/>
      <c r="I19" s="259"/>
      <c r="J19" s="108"/>
      <c r="K19" s="80"/>
    </row>
    <row r="20" spans="1:18" s="89" customFormat="1">
      <c r="A20" s="124" t="s">
        <v>563</v>
      </c>
      <c r="B20" s="262">
        <v>6.5699999999999995E-2</v>
      </c>
      <c r="C20" s="259"/>
      <c r="D20" s="259"/>
      <c r="E20" s="259"/>
      <c r="F20" s="259"/>
      <c r="G20" s="259"/>
      <c r="H20" s="259"/>
      <c r="I20" s="259"/>
      <c r="J20" s="108"/>
      <c r="K20" s="80"/>
    </row>
    <row r="21" spans="1:18" s="89" customFormat="1">
      <c r="A21" s="124" t="s">
        <v>512</v>
      </c>
      <c r="B21" s="263">
        <v>0</v>
      </c>
      <c r="C21" s="259"/>
      <c r="D21" s="259"/>
      <c r="E21" s="259"/>
      <c r="F21" s="259"/>
      <c r="G21" s="259"/>
      <c r="H21" s="259"/>
      <c r="I21" s="259"/>
      <c r="J21" s="108"/>
      <c r="K21" s="80"/>
    </row>
    <row r="22" spans="1:18" s="89" customFormat="1">
      <c r="A22" s="124" t="s">
        <v>510</v>
      </c>
      <c r="B22" s="262">
        <v>9.3100000000000002E-2</v>
      </c>
      <c r="C22" s="259"/>
      <c r="D22" s="259"/>
      <c r="E22" s="259"/>
      <c r="F22" s="259"/>
      <c r="G22" s="259"/>
      <c r="H22" s="259"/>
      <c r="I22" s="259"/>
      <c r="J22" s="108"/>
      <c r="K22" s="80"/>
    </row>
    <row r="23" spans="1:18" s="89" customFormat="1">
      <c r="A23" s="124"/>
      <c r="B23" s="726"/>
      <c r="C23" s="259"/>
      <c r="D23" s="259"/>
      <c r="E23" s="259"/>
      <c r="F23" s="259"/>
      <c r="G23" s="259"/>
      <c r="H23" s="259"/>
      <c r="I23" s="259"/>
      <c r="J23" s="108"/>
      <c r="K23" s="80"/>
    </row>
    <row r="24" spans="1:18" s="89" customFormat="1">
      <c r="A24" s="1113" t="s">
        <v>1096</v>
      </c>
      <c r="B24" s="726"/>
      <c r="C24" s="259"/>
      <c r="D24" s="259"/>
      <c r="E24" s="259"/>
      <c r="F24" s="259"/>
      <c r="G24" s="259"/>
      <c r="H24" s="259"/>
      <c r="I24" s="259"/>
      <c r="J24" s="108"/>
      <c r="K24" s="80"/>
    </row>
    <row r="25" spans="1:18" s="89" customFormat="1">
      <c r="A25" s="124" t="s">
        <v>1098</v>
      </c>
      <c r="B25" s="262">
        <v>0.01</v>
      </c>
      <c r="C25" s="339" t="s">
        <v>1097</v>
      </c>
      <c r="D25" s="259"/>
      <c r="E25" s="259"/>
      <c r="F25" s="259"/>
      <c r="G25" s="259"/>
      <c r="H25" s="259"/>
      <c r="I25" s="259"/>
      <c r="J25" s="108"/>
      <c r="K25" s="80"/>
    </row>
    <row r="26" spans="1:18" s="89" customFormat="1">
      <c r="A26" s="124"/>
      <c r="B26" s="259"/>
      <c r="C26" s="259"/>
      <c r="D26" s="259"/>
      <c r="E26" s="259"/>
      <c r="F26" s="259"/>
      <c r="G26" s="259"/>
      <c r="H26" s="259"/>
      <c r="I26" s="259"/>
      <c r="J26" s="108"/>
      <c r="K26" s="80"/>
    </row>
    <row r="27" spans="1:18" s="89" customFormat="1">
      <c r="A27" s="57" t="s">
        <v>10</v>
      </c>
      <c r="B27" s="80"/>
      <c r="C27" s="80"/>
      <c r="D27" s="80"/>
      <c r="E27" s="80"/>
      <c r="F27" s="80"/>
      <c r="G27" s="80"/>
      <c r="H27" s="80"/>
      <c r="I27" s="80"/>
      <c r="J27" s="80"/>
      <c r="K27" s="80"/>
    </row>
    <row r="28" spans="1:18" s="89" customFormat="1">
      <c r="A28" s="337" t="s">
        <v>7</v>
      </c>
      <c r="B28" s="341"/>
      <c r="C28" s="341"/>
      <c r="D28" s="341"/>
      <c r="E28" s="341"/>
      <c r="F28" s="341"/>
      <c r="G28" s="341"/>
      <c r="H28" s="341"/>
      <c r="I28" s="341"/>
      <c r="J28" s="341"/>
      <c r="K28" s="341"/>
      <c r="L28" s="341"/>
      <c r="M28" s="341"/>
      <c r="N28" s="341"/>
      <c r="O28" s="341"/>
      <c r="P28" s="341"/>
      <c r="Q28" s="341"/>
      <c r="R28" s="341"/>
    </row>
    <row r="29" spans="1:18" s="89" customFormat="1">
      <c r="A29" s="342" t="s">
        <v>459</v>
      </c>
      <c r="B29" s="342" t="s">
        <v>460</v>
      </c>
      <c r="C29" s="343"/>
      <c r="D29" s="344"/>
      <c r="E29" s="345"/>
      <c r="F29" s="341"/>
      <c r="G29" s="346"/>
      <c r="H29" s="341"/>
      <c r="I29" s="346"/>
      <c r="J29" s="341"/>
      <c r="K29" s="346"/>
      <c r="L29" s="341"/>
      <c r="M29" s="346"/>
      <c r="N29" s="341"/>
      <c r="O29" s="346"/>
      <c r="P29" s="341"/>
    </row>
    <row r="30" spans="1:18" s="89" customFormat="1">
      <c r="A30" s="347">
        <v>2001</v>
      </c>
      <c r="B30" s="348">
        <v>2.5</v>
      </c>
      <c r="C30" s="340" t="s">
        <v>461</v>
      </c>
      <c r="D30" s="349"/>
      <c r="E30" s="350"/>
      <c r="F30" s="341"/>
      <c r="G30" s="351"/>
      <c r="H30" s="341"/>
      <c r="I30" s="346"/>
      <c r="J30" s="341"/>
      <c r="K30" s="346"/>
      <c r="L30" s="341"/>
      <c r="M30" s="346"/>
      <c r="N30" s="341"/>
      <c r="O30" s="346"/>
      <c r="P30" s="343"/>
    </row>
    <row r="31" spans="1:18" s="89" customFormat="1">
      <c r="A31" s="347">
        <v>2002</v>
      </c>
      <c r="B31" s="348">
        <v>4.7</v>
      </c>
      <c r="C31" s="340" t="s">
        <v>461</v>
      </c>
      <c r="D31" s="349"/>
      <c r="E31" s="350"/>
      <c r="F31" s="341"/>
      <c r="G31" s="351"/>
      <c r="H31" s="341"/>
      <c r="I31" s="351"/>
      <c r="J31" s="341"/>
      <c r="K31" s="352"/>
      <c r="L31" s="341"/>
      <c r="M31" s="352"/>
      <c r="N31" s="341"/>
      <c r="O31" s="352"/>
      <c r="P31" s="343"/>
    </row>
    <row r="32" spans="1:18" s="89" customFormat="1">
      <c r="A32" s="347">
        <v>2003</v>
      </c>
      <c r="B32" s="348">
        <v>3.3</v>
      </c>
      <c r="C32" s="340" t="s">
        <v>461</v>
      </c>
      <c r="D32" s="349"/>
      <c r="E32" s="350"/>
      <c r="F32" s="341"/>
      <c r="G32" s="351"/>
      <c r="H32" s="341"/>
      <c r="I32" s="351"/>
      <c r="J32" s="341"/>
      <c r="K32" s="351"/>
      <c r="L32" s="341"/>
      <c r="M32" s="352"/>
      <c r="N32" s="341"/>
      <c r="O32" s="352"/>
      <c r="P32" s="343"/>
    </row>
    <row r="33" spans="1:18" s="89" customFormat="1">
      <c r="A33" s="347">
        <v>2004</v>
      </c>
      <c r="B33" s="348">
        <v>2.1</v>
      </c>
      <c r="C33" s="340" t="s">
        <v>461</v>
      </c>
      <c r="D33" s="349"/>
      <c r="E33" s="350"/>
      <c r="F33" s="353"/>
      <c r="G33" s="351"/>
      <c r="H33" s="353"/>
      <c r="I33" s="351"/>
      <c r="J33" s="353"/>
      <c r="K33" s="351"/>
      <c r="L33" s="353"/>
      <c r="M33" s="351"/>
      <c r="N33" s="353"/>
      <c r="O33" s="352"/>
      <c r="P33" s="343"/>
    </row>
    <row r="34" spans="1:18" s="89" customFormat="1">
      <c r="A34" s="347">
        <v>2005</v>
      </c>
      <c r="B34" s="348">
        <v>1.1000000000000001</v>
      </c>
      <c r="C34" s="340" t="s">
        <v>461</v>
      </c>
      <c r="D34" s="349"/>
      <c r="E34" s="350"/>
      <c r="F34" s="353"/>
      <c r="G34" s="351"/>
      <c r="H34" s="353"/>
      <c r="I34" s="351"/>
      <c r="J34" s="353"/>
      <c r="K34" s="351"/>
      <c r="L34" s="353"/>
      <c r="M34" s="351"/>
      <c r="N34" s="353"/>
      <c r="O34" s="351"/>
      <c r="P34" s="343"/>
    </row>
    <row r="35" spans="1:18" s="89" customFormat="1">
      <c r="A35" s="347">
        <v>2006</v>
      </c>
      <c r="B35" s="348">
        <v>1.8</v>
      </c>
      <c r="C35" s="340" t="s">
        <v>461</v>
      </c>
      <c r="D35" s="349"/>
      <c r="E35" s="350"/>
      <c r="F35" s="353"/>
      <c r="G35" s="351"/>
      <c r="H35" s="353"/>
      <c r="I35" s="351"/>
      <c r="J35" s="353"/>
      <c r="K35" s="351"/>
      <c r="L35" s="353"/>
      <c r="M35" s="351"/>
      <c r="N35" s="353"/>
      <c r="O35" s="351"/>
      <c r="P35" s="343"/>
    </row>
    <row r="36" spans="1:18" s="89" customFormat="1">
      <c r="A36" s="347">
        <v>2007</v>
      </c>
      <c r="B36" s="348">
        <v>1.4</v>
      </c>
      <c r="C36" s="340" t="s">
        <v>461</v>
      </c>
      <c r="D36" s="349"/>
      <c r="E36" s="350"/>
      <c r="F36" s="353"/>
      <c r="G36" s="351"/>
      <c r="H36" s="353"/>
      <c r="I36" s="351"/>
      <c r="J36" s="353"/>
      <c r="K36" s="351"/>
      <c r="L36" s="353"/>
      <c r="M36" s="351"/>
      <c r="N36" s="353"/>
      <c r="O36" s="351"/>
      <c r="P36" s="343"/>
    </row>
    <row r="37" spans="1:18" s="89" customFormat="1">
      <c r="A37" s="347">
        <v>2008</v>
      </c>
      <c r="B37" s="348">
        <v>1.1000000000000001</v>
      </c>
      <c r="C37" s="340" t="s">
        <v>461</v>
      </c>
      <c r="D37" s="349"/>
      <c r="E37" s="354"/>
      <c r="F37" s="341"/>
      <c r="G37" s="351"/>
      <c r="H37" s="341"/>
      <c r="I37" s="351"/>
      <c r="J37" s="341"/>
      <c r="K37" s="351"/>
      <c r="L37" s="341"/>
      <c r="M37" s="351"/>
      <c r="N37" s="341"/>
      <c r="O37" s="351"/>
      <c r="P37" s="343"/>
    </row>
    <row r="38" spans="1:18" s="89" customFormat="1">
      <c r="A38" s="347">
        <v>2009</v>
      </c>
      <c r="B38" s="348">
        <v>3.2</v>
      </c>
      <c r="C38" s="340" t="s">
        <v>461</v>
      </c>
      <c r="D38" s="349"/>
      <c r="E38" s="350"/>
      <c r="F38" s="341"/>
      <c r="G38" s="355"/>
      <c r="H38" s="355"/>
      <c r="I38" s="355"/>
      <c r="J38" s="355"/>
      <c r="K38" s="355"/>
      <c r="L38" s="355"/>
      <c r="M38" s="355"/>
      <c r="N38" s="355"/>
      <c r="O38" s="355"/>
      <c r="P38" s="351"/>
    </row>
    <row r="39" spans="1:18" s="89" customFormat="1">
      <c r="A39" s="347">
        <v>2010</v>
      </c>
      <c r="B39" s="348">
        <v>0.3</v>
      </c>
      <c r="C39" s="340" t="s">
        <v>461</v>
      </c>
      <c r="D39" s="349"/>
      <c r="E39" s="354"/>
      <c r="F39" s="345"/>
      <c r="G39" s="345"/>
      <c r="H39" s="345"/>
      <c r="I39" s="345"/>
      <c r="J39" s="345"/>
      <c r="K39" s="345"/>
      <c r="L39" s="345"/>
      <c r="M39" s="345"/>
      <c r="N39" s="345"/>
      <c r="O39" s="345"/>
      <c r="P39" s="345"/>
    </row>
    <row r="40" spans="1:18" s="89" customFormat="1">
      <c r="A40" s="347">
        <v>2011</v>
      </c>
      <c r="B40" s="356">
        <v>1.5</v>
      </c>
      <c r="C40" s="340" t="s">
        <v>461</v>
      </c>
      <c r="D40" s="350"/>
      <c r="E40" s="345"/>
      <c r="F40" s="345"/>
      <c r="G40" s="345"/>
      <c r="H40" s="345"/>
      <c r="I40" s="345"/>
      <c r="J40" s="345"/>
      <c r="K40" s="345"/>
      <c r="L40" s="345"/>
      <c r="M40" s="345"/>
      <c r="N40" s="345"/>
      <c r="O40" s="345"/>
      <c r="P40" s="345"/>
    </row>
    <row r="41" spans="1:18" s="89" customFormat="1">
      <c r="A41" s="347">
        <v>2012</v>
      </c>
      <c r="B41" s="356">
        <v>2.6</v>
      </c>
      <c r="C41" s="340" t="s">
        <v>461</v>
      </c>
      <c r="D41" s="349"/>
      <c r="E41" s="345"/>
      <c r="F41" s="345"/>
      <c r="G41" s="345"/>
      <c r="H41" s="345"/>
      <c r="I41" s="345"/>
      <c r="J41" s="345"/>
      <c r="K41" s="345"/>
      <c r="L41" s="345"/>
      <c r="M41" s="345"/>
      <c r="N41" s="345"/>
      <c r="O41" s="345"/>
      <c r="P41" s="345"/>
    </row>
    <row r="42" spans="1:18" s="89" customFormat="1">
      <c r="A42" s="347">
        <v>2013</v>
      </c>
      <c r="B42" s="356">
        <v>2.2999999999999998</v>
      </c>
      <c r="C42" s="340" t="s">
        <v>461</v>
      </c>
      <c r="D42" s="349"/>
      <c r="E42" s="357"/>
      <c r="F42" s="357"/>
      <c r="G42" s="357"/>
      <c r="H42" s="357"/>
      <c r="I42" s="357"/>
      <c r="J42" s="357"/>
      <c r="K42" s="357"/>
      <c r="L42" s="357"/>
      <c r="M42" s="357"/>
      <c r="N42" s="357"/>
      <c r="O42" s="357"/>
      <c r="P42" s="357"/>
    </row>
    <row r="43" spans="1:18" s="89" customFormat="1">
      <c r="A43" s="347">
        <v>2014</v>
      </c>
      <c r="B43" s="398">
        <v>2.8</v>
      </c>
      <c r="C43" s="340" t="s">
        <v>461</v>
      </c>
      <c r="D43" s="358"/>
      <c r="E43" s="357"/>
      <c r="F43" s="357"/>
      <c r="G43" s="357"/>
      <c r="H43" s="357"/>
      <c r="I43" s="357"/>
      <c r="J43" s="357"/>
      <c r="K43" s="357"/>
      <c r="L43" s="357"/>
      <c r="M43" s="357"/>
      <c r="N43" s="357"/>
      <c r="O43" s="357"/>
      <c r="P43" s="357"/>
    </row>
    <row r="44" spans="1:18" s="89" customFormat="1">
      <c r="A44" s="347">
        <v>2015</v>
      </c>
      <c r="B44" s="625">
        <v>1</v>
      </c>
      <c r="C44" s="340" t="s">
        <v>461</v>
      </c>
      <c r="D44" s="358"/>
      <c r="E44" s="357"/>
      <c r="F44" s="357"/>
      <c r="G44" s="357"/>
      <c r="H44" s="357"/>
      <c r="I44" s="357"/>
      <c r="J44" s="357"/>
      <c r="K44" s="357"/>
      <c r="L44" s="357"/>
      <c r="M44" s="357"/>
      <c r="N44" s="357"/>
      <c r="O44" s="357"/>
      <c r="P44" s="357"/>
    </row>
    <row r="45" spans="1:18" s="89" customFormat="1">
      <c r="A45" s="347">
        <v>2016</v>
      </c>
      <c r="B45" s="356">
        <v>0.8</v>
      </c>
      <c r="C45" s="340" t="s">
        <v>461</v>
      </c>
      <c r="D45" s="358"/>
      <c r="E45" s="357"/>
      <c r="F45" s="357"/>
      <c r="G45" s="357"/>
      <c r="H45" s="357"/>
      <c r="I45" s="357"/>
      <c r="J45" s="357"/>
      <c r="K45" s="357"/>
      <c r="L45" s="357"/>
      <c r="M45" s="357"/>
      <c r="N45" s="357"/>
      <c r="O45" s="357"/>
      <c r="P45" s="357"/>
    </row>
    <row r="46" spans="1:18" s="89" customFormat="1">
      <c r="A46" s="80"/>
      <c r="B46" s="52"/>
      <c r="C46" s="53"/>
      <c r="D46" s="54"/>
      <c r="E46" s="54"/>
      <c r="F46" s="52"/>
      <c r="G46" s="359"/>
      <c r="H46" s="359"/>
      <c r="I46" s="359"/>
      <c r="J46" s="359"/>
      <c r="K46" s="359"/>
      <c r="L46" s="359"/>
      <c r="M46" s="359"/>
      <c r="N46" s="359"/>
      <c r="O46" s="359"/>
      <c r="P46" s="359"/>
      <c r="Q46" s="102"/>
    </row>
    <row r="47" spans="1:18" s="89" customFormat="1">
      <c r="A47" s="185" t="s">
        <v>8</v>
      </c>
      <c r="B47" s="345"/>
      <c r="C47" s="360" t="s">
        <v>9</v>
      </c>
      <c r="D47" s="345"/>
      <c r="E47" s="345"/>
      <c r="F47" s="345"/>
      <c r="G47" s="345"/>
      <c r="H47" s="345"/>
      <c r="I47" s="345"/>
      <c r="J47" s="345"/>
      <c r="K47" s="345"/>
      <c r="L47" s="345"/>
      <c r="M47" s="345"/>
      <c r="N47" s="345"/>
      <c r="O47" s="345"/>
      <c r="P47" s="357"/>
    </row>
    <row r="48" spans="1:18" s="89" customFormat="1">
      <c r="A48" s="361" t="s">
        <v>462</v>
      </c>
      <c r="B48" s="342" t="s">
        <v>456</v>
      </c>
      <c r="C48" s="362">
        <v>2001</v>
      </c>
      <c r="D48" s="362">
        <v>2002</v>
      </c>
      <c r="E48" s="362">
        <v>2003</v>
      </c>
      <c r="F48" s="362">
        <v>2004</v>
      </c>
      <c r="G48" s="362">
        <v>2005</v>
      </c>
      <c r="H48" s="362">
        <v>2006</v>
      </c>
      <c r="I48" s="362">
        <v>2007</v>
      </c>
      <c r="J48" s="362">
        <v>2008</v>
      </c>
      <c r="K48" s="362">
        <v>2009</v>
      </c>
      <c r="L48" s="362">
        <v>2010</v>
      </c>
      <c r="M48" s="362">
        <v>2011</v>
      </c>
      <c r="N48" s="362">
        <v>2012</v>
      </c>
      <c r="O48" s="362">
        <v>2013</v>
      </c>
      <c r="P48" s="362">
        <v>2014</v>
      </c>
      <c r="Q48" s="362">
        <v>2015</v>
      </c>
      <c r="R48" s="641">
        <v>2016</v>
      </c>
    </row>
    <row r="49" spans="1:18" s="89" customFormat="1">
      <c r="A49" s="363">
        <v>2000</v>
      </c>
      <c r="B49" s="364"/>
      <c r="C49" s="365">
        <f>C50*$B50</f>
        <v>1.0249999999999999</v>
      </c>
      <c r="D49" s="365">
        <f>D50*$B50</f>
        <v>1.0731749999999998</v>
      </c>
      <c r="E49" s="365">
        <f t="shared" ref="E49:R61" si="1">E50*$B50</f>
        <v>1.1085897749999998</v>
      </c>
      <c r="F49" s="365">
        <f t="shared" si="1"/>
        <v>1.1318701602749996</v>
      </c>
      <c r="G49" s="365">
        <f t="shared" si="1"/>
        <v>1.1443207320380246</v>
      </c>
      <c r="H49" s="365">
        <f t="shared" si="1"/>
        <v>1.1649185052147089</v>
      </c>
      <c r="I49" s="365">
        <f t="shared" si="1"/>
        <v>1.1812273642877147</v>
      </c>
      <c r="J49" s="365">
        <f t="shared" si="1"/>
        <v>1.1942208652948796</v>
      </c>
      <c r="K49" s="365">
        <f t="shared" si="1"/>
        <v>1.2324359329843158</v>
      </c>
      <c r="L49" s="365">
        <f t="shared" si="1"/>
        <v>1.2361332407832686</v>
      </c>
      <c r="M49" s="365">
        <f t="shared" si="1"/>
        <v>1.2546752393950178</v>
      </c>
      <c r="N49" s="365">
        <f t="shared" si="1"/>
        <v>1.2872967956192884</v>
      </c>
      <c r="O49" s="365">
        <f t="shared" si="1"/>
        <v>1.3169046219185316</v>
      </c>
      <c r="P49" s="365">
        <f t="shared" si="1"/>
        <v>1.3537779513322505</v>
      </c>
      <c r="Q49" s="365">
        <f t="shared" si="1"/>
        <v>1.367315730845573</v>
      </c>
      <c r="R49" s="639">
        <f t="shared" si="1"/>
        <v>1.3782542566923377</v>
      </c>
    </row>
    <row r="50" spans="1:18" s="89" customFormat="1">
      <c r="A50" s="363">
        <v>2001</v>
      </c>
      <c r="B50" s="366">
        <f t="shared" ref="B50:B64" si="2">1+B30/100</f>
        <v>1.0249999999999999</v>
      </c>
      <c r="C50" s="367">
        <v>1</v>
      </c>
      <c r="D50" s="368">
        <f>D51*$B51</f>
        <v>1.0469999999999999</v>
      </c>
      <c r="E50" s="368">
        <f t="shared" si="1"/>
        <v>1.0815509999999999</v>
      </c>
      <c r="F50" s="368">
        <f t="shared" si="1"/>
        <v>1.1042635709999997</v>
      </c>
      <c r="G50" s="368">
        <f t="shared" si="1"/>
        <v>1.1164104702809998</v>
      </c>
      <c r="H50" s="368">
        <f t="shared" si="1"/>
        <v>1.1365058587460575</v>
      </c>
      <c r="I50" s="368">
        <f t="shared" si="1"/>
        <v>1.1524169407685023</v>
      </c>
      <c r="J50" s="368">
        <f t="shared" si="1"/>
        <v>1.1650935271169558</v>
      </c>
      <c r="K50" s="368">
        <f t="shared" si="1"/>
        <v>1.2023765199846983</v>
      </c>
      <c r="L50" s="368">
        <f t="shared" si="1"/>
        <v>1.2059836495446523</v>
      </c>
      <c r="M50" s="368">
        <f t="shared" si="1"/>
        <v>1.2240734042878223</v>
      </c>
      <c r="N50" s="368">
        <f t="shared" si="1"/>
        <v>1.2558993127993059</v>
      </c>
      <c r="O50" s="368">
        <f t="shared" si="1"/>
        <v>1.2847849969936895</v>
      </c>
      <c r="P50" s="368">
        <f t="shared" si="1"/>
        <v>1.3207589769095129</v>
      </c>
      <c r="Q50" s="368">
        <f t="shared" si="1"/>
        <v>1.333966566678608</v>
      </c>
      <c r="R50" s="640">
        <f t="shared" si="1"/>
        <v>1.3446382992120369</v>
      </c>
    </row>
    <row r="51" spans="1:18" s="89" customFormat="1">
      <c r="A51" s="363">
        <v>2002</v>
      </c>
      <c r="B51" s="366">
        <f t="shared" si="2"/>
        <v>1.0469999999999999</v>
      </c>
      <c r="C51" s="369"/>
      <c r="D51" s="367">
        <v>1</v>
      </c>
      <c r="E51" s="368">
        <f t="shared" si="1"/>
        <v>1.0329999999999999</v>
      </c>
      <c r="F51" s="368">
        <f t="shared" si="1"/>
        <v>1.0546929999999999</v>
      </c>
      <c r="G51" s="368">
        <f t="shared" si="1"/>
        <v>1.0662946229999999</v>
      </c>
      <c r="H51" s="368">
        <f t="shared" si="1"/>
        <v>1.0854879262139996</v>
      </c>
      <c r="I51" s="368">
        <f t="shared" si="1"/>
        <v>1.1006847571809957</v>
      </c>
      <c r="J51" s="368">
        <f t="shared" si="1"/>
        <v>1.1127922895099864</v>
      </c>
      <c r="K51" s="368">
        <f t="shared" si="1"/>
        <v>1.148401642774306</v>
      </c>
      <c r="L51" s="368">
        <f t="shared" si="1"/>
        <v>1.1518468477026289</v>
      </c>
      <c r="M51" s="368">
        <f t="shared" si="1"/>
        <v>1.1691245504181684</v>
      </c>
      <c r="N51" s="368">
        <f t="shared" si="1"/>
        <v>1.199521788729041</v>
      </c>
      <c r="O51" s="368">
        <f t="shared" si="1"/>
        <v>1.2271107898698086</v>
      </c>
      <c r="P51" s="368">
        <f t="shared" si="1"/>
        <v>1.2614698919861633</v>
      </c>
      <c r="Q51" s="368">
        <f t="shared" si="1"/>
        <v>1.274084590906025</v>
      </c>
      <c r="R51" s="640">
        <f t="shared" si="1"/>
        <v>1.2842772676332732</v>
      </c>
    </row>
    <row r="52" spans="1:18" s="89" customFormat="1">
      <c r="A52" s="363">
        <v>2003</v>
      </c>
      <c r="B52" s="366">
        <f t="shared" si="2"/>
        <v>1.0329999999999999</v>
      </c>
      <c r="C52" s="369"/>
      <c r="D52" s="369"/>
      <c r="E52" s="367">
        <v>1</v>
      </c>
      <c r="F52" s="368">
        <f t="shared" si="1"/>
        <v>1.0209999999999999</v>
      </c>
      <c r="G52" s="368">
        <f t="shared" si="1"/>
        <v>1.0322309999999999</v>
      </c>
      <c r="H52" s="368">
        <f t="shared" si="1"/>
        <v>1.0508111579999997</v>
      </c>
      <c r="I52" s="368">
        <f t="shared" si="1"/>
        <v>1.0655225142119997</v>
      </c>
      <c r="J52" s="368">
        <f t="shared" si="1"/>
        <v>1.0772432618683316</v>
      </c>
      <c r="K52" s="368">
        <f t="shared" si="1"/>
        <v>1.1117150462481182</v>
      </c>
      <c r="L52" s="368">
        <f t="shared" si="1"/>
        <v>1.1150501913868625</v>
      </c>
      <c r="M52" s="368">
        <f t="shared" si="1"/>
        <v>1.1317759442576656</v>
      </c>
      <c r="N52" s="368">
        <f t="shared" si="1"/>
        <v>1.161202118808365</v>
      </c>
      <c r="O52" s="368">
        <f t="shared" si="1"/>
        <v>1.1879097675409571</v>
      </c>
      <c r="P52" s="368">
        <f t="shared" si="1"/>
        <v>1.2211712410321041</v>
      </c>
      <c r="Q52" s="368">
        <f t="shared" si="1"/>
        <v>1.233382953442425</v>
      </c>
      <c r="R52" s="640">
        <f t="shared" si="1"/>
        <v>1.2432500170699645</v>
      </c>
    </row>
    <row r="53" spans="1:18" s="89" customFormat="1">
      <c r="A53" s="363">
        <v>2004</v>
      </c>
      <c r="B53" s="366">
        <f t="shared" si="2"/>
        <v>1.0209999999999999</v>
      </c>
      <c r="C53" s="369"/>
      <c r="D53" s="369"/>
      <c r="E53" s="369"/>
      <c r="F53" s="367">
        <v>1</v>
      </c>
      <c r="G53" s="368">
        <f t="shared" si="1"/>
        <v>1.0109999999999999</v>
      </c>
      <c r="H53" s="368">
        <f t="shared" si="1"/>
        <v>1.0291979999999998</v>
      </c>
      <c r="I53" s="368">
        <f t="shared" si="1"/>
        <v>1.0436067719999997</v>
      </c>
      <c r="J53" s="368">
        <f t="shared" si="1"/>
        <v>1.0550864464919998</v>
      </c>
      <c r="K53" s="368">
        <f t="shared" si="1"/>
        <v>1.0888492127797438</v>
      </c>
      <c r="L53" s="368">
        <f t="shared" si="1"/>
        <v>1.0921157604180829</v>
      </c>
      <c r="M53" s="368">
        <f t="shared" si="1"/>
        <v>1.1084974968243542</v>
      </c>
      <c r="N53" s="368">
        <f t="shared" si="1"/>
        <v>1.1373184317417875</v>
      </c>
      <c r="O53" s="368">
        <f t="shared" si="1"/>
        <v>1.1634767556718484</v>
      </c>
      <c r="P53" s="368">
        <f t="shared" si="1"/>
        <v>1.1960541048306603</v>
      </c>
      <c r="Q53" s="368">
        <f t="shared" si="1"/>
        <v>1.2080146458789669</v>
      </c>
      <c r="R53" s="640">
        <f t="shared" si="1"/>
        <v>1.2176787630459986</v>
      </c>
    </row>
    <row r="54" spans="1:18" s="89" customFormat="1">
      <c r="A54" s="363">
        <v>2005</v>
      </c>
      <c r="B54" s="366">
        <f t="shared" si="2"/>
        <v>1.0109999999999999</v>
      </c>
      <c r="C54" s="369"/>
      <c r="D54" s="369"/>
      <c r="E54" s="369"/>
      <c r="F54" s="369"/>
      <c r="G54" s="367">
        <v>1</v>
      </c>
      <c r="H54" s="368">
        <f t="shared" si="1"/>
        <v>1.018</v>
      </c>
      <c r="I54" s="368">
        <f t="shared" si="1"/>
        <v>1.0322519999999999</v>
      </c>
      <c r="J54" s="368">
        <f t="shared" si="1"/>
        <v>1.043606772</v>
      </c>
      <c r="K54" s="368">
        <f t="shared" si="1"/>
        <v>1.077002188704</v>
      </c>
      <c r="L54" s="368">
        <f t="shared" si="1"/>
        <v>1.0802331952701119</v>
      </c>
      <c r="M54" s="368">
        <f t="shared" si="1"/>
        <v>1.0964366931991634</v>
      </c>
      <c r="N54" s="368">
        <f t="shared" si="1"/>
        <v>1.1249440472223418</v>
      </c>
      <c r="O54" s="368">
        <f t="shared" si="1"/>
        <v>1.1508177603084555</v>
      </c>
      <c r="P54" s="368">
        <f t="shared" si="1"/>
        <v>1.1830406575970924</v>
      </c>
      <c r="Q54" s="368">
        <f t="shared" si="1"/>
        <v>1.1948710641730633</v>
      </c>
      <c r="R54" s="640">
        <f t="shared" si="1"/>
        <v>1.2044300326864479</v>
      </c>
    </row>
    <row r="55" spans="1:18" s="89" customFormat="1">
      <c r="A55" s="363">
        <v>2006</v>
      </c>
      <c r="B55" s="366">
        <f t="shared" si="2"/>
        <v>1.018</v>
      </c>
      <c r="C55" s="369"/>
      <c r="D55" s="369"/>
      <c r="E55" s="369"/>
      <c r="F55" s="369"/>
      <c r="G55" s="369"/>
      <c r="H55" s="367">
        <v>1</v>
      </c>
      <c r="I55" s="368">
        <f t="shared" si="1"/>
        <v>1.014</v>
      </c>
      <c r="J55" s="368">
        <f t="shared" si="1"/>
        <v>1.0251539999999999</v>
      </c>
      <c r="K55" s="368">
        <f t="shared" si="1"/>
        <v>1.0579589279999999</v>
      </c>
      <c r="L55" s="368">
        <f t="shared" si="1"/>
        <v>1.0611328047839999</v>
      </c>
      <c r="M55" s="368">
        <f t="shared" si="1"/>
        <v>1.0770497968557597</v>
      </c>
      <c r="N55" s="368">
        <f t="shared" si="1"/>
        <v>1.1050530915740095</v>
      </c>
      <c r="O55" s="368">
        <f t="shared" si="1"/>
        <v>1.1304693126802117</v>
      </c>
      <c r="P55" s="368">
        <f t="shared" si="1"/>
        <v>1.1621224534352577</v>
      </c>
      <c r="Q55" s="368">
        <f t="shared" si="1"/>
        <v>1.1737436779696102</v>
      </c>
      <c r="R55" s="640">
        <f t="shared" si="1"/>
        <v>1.1831336273933672</v>
      </c>
    </row>
    <row r="56" spans="1:18" s="89" customFormat="1">
      <c r="A56" s="363">
        <v>2007</v>
      </c>
      <c r="B56" s="366">
        <f t="shared" si="2"/>
        <v>1.014</v>
      </c>
      <c r="C56" s="369"/>
      <c r="D56" s="369"/>
      <c r="E56" s="369"/>
      <c r="F56" s="369"/>
      <c r="G56" s="369"/>
      <c r="H56" s="369"/>
      <c r="I56" s="367">
        <v>1</v>
      </c>
      <c r="J56" s="368">
        <f t="shared" si="1"/>
        <v>1.0109999999999999</v>
      </c>
      <c r="K56" s="368">
        <f t="shared" si="1"/>
        <v>1.0433519999999998</v>
      </c>
      <c r="L56" s="368">
        <f t="shared" si="1"/>
        <v>1.0464820559999999</v>
      </c>
      <c r="M56" s="368">
        <f t="shared" si="1"/>
        <v>1.0621792868399997</v>
      </c>
      <c r="N56" s="368">
        <f t="shared" si="1"/>
        <v>1.0897959482978399</v>
      </c>
      <c r="O56" s="368">
        <f t="shared" si="1"/>
        <v>1.1148612551086901</v>
      </c>
      <c r="P56" s="368">
        <f t="shared" si="1"/>
        <v>1.1460773702517333</v>
      </c>
      <c r="Q56" s="368">
        <f t="shared" si="1"/>
        <v>1.1575381439542507</v>
      </c>
      <c r="R56" s="640">
        <f t="shared" si="1"/>
        <v>1.1667984491058849</v>
      </c>
    </row>
    <row r="57" spans="1:18" s="89" customFormat="1">
      <c r="A57" s="363">
        <v>2008</v>
      </c>
      <c r="B57" s="366">
        <f t="shared" si="2"/>
        <v>1.0109999999999999</v>
      </c>
      <c r="C57" s="369"/>
      <c r="D57" s="369"/>
      <c r="E57" s="369"/>
      <c r="F57" s="369"/>
      <c r="G57" s="369"/>
      <c r="H57" s="369"/>
      <c r="I57" s="369"/>
      <c r="J57" s="367">
        <v>1</v>
      </c>
      <c r="K57" s="368">
        <f t="shared" si="1"/>
        <v>1.032</v>
      </c>
      <c r="L57" s="368">
        <f t="shared" si="1"/>
        <v>1.035096</v>
      </c>
      <c r="M57" s="368">
        <f t="shared" si="1"/>
        <v>1.0506224399999999</v>
      </c>
      <c r="N57" s="368">
        <f t="shared" si="1"/>
        <v>1.0779386234399999</v>
      </c>
      <c r="O57" s="368">
        <f t="shared" si="1"/>
        <v>1.1027312117791199</v>
      </c>
      <c r="P57" s="368">
        <f t="shared" si="1"/>
        <v>1.1336076857089352</v>
      </c>
      <c r="Q57" s="368">
        <f t="shared" si="1"/>
        <v>1.1449437625660246</v>
      </c>
      <c r="R57" s="640">
        <f t="shared" si="1"/>
        <v>1.154103312666553</v>
      </c>
    </row>
    <row r="58" spans="1:18" s="89" customFormat="1">
      <c r="A58" s="363">
        <v>2009</v>
      </c>
      <c r="B58" s="366">
        <f t="shared" si="2"/>
        <v>1.032</v>
      </c>
      <c r="C58" s="369"/>
      <c r="D58" s="369"/>
      <c r="E58" s="369"/>
      <c r="F58" s="369"/>
      <c r="G58" s="369"/>
      <c r="H58" s="369"/>
      <c r="I58" s="369"/>
      <c r="J58" s="369"/>
      <c r="K58" s="367">
        <v>1</v>
      </c>
      <c r="L58" s="368">
        <f t="shared" si="1"/>
        <v>1.0029999999999999</v>
      </c>
      <c r="M58" s="368">
        <f t="shared" si="1"/>
        <v>1.0180449999999999</v>
      </c>
      <c r="N58" s="368">
        <f t="shared" si="1"/>
        <v>1.0445141699999998</v>
      </c>
      <c r="O58" s="368">
        <f t="shared" si="1"/>
        <v>1.0685379959099999</v>
      </c>
      <c r="P58" s="368">
        <f t="shared" si="1"/>
        <v>1.0984570597954799</v>
      </c>
      <c r="Q58" s="368">
        <f t="shared" si="1"/>
        <v>1.1094416303934347</v>
      </c>
      <c r="R58" s="640">
        <f t="shared" si="1"/>
        <v>1.1183171634365823</v>
      </c>
    </row>
    <row r="59" spans="1:18" s="89" customFormat="1">
      <c r="A59" s="363">
        <v>2010</v>
      </c>
      <c r="B59" s="366">
        <f t="shared" si="2"/>
        <v>1.0029999999999999</v>
      </c>
      <c r="C59" s="370"/>
      <c r="D59" s="370"/>
      <c r="E59" s="370"/>
      <c r="F59" s="370"/>
      <c r="G59" s="370"/>
      <c r="H59" s="370"/>
      <c r="I59" s="370"/>
      <c r="J59" s="370"/>
      <c r="K59" s="370"/>
      <c r="L59" s="371">
        <v>1</v>
      </c>
      <c r="M59" s="368">
        <f t="shared" si="1"/>
        <v>1.0149999999999999</v>
      </c>
      <c r="N59" s="368">
        <f t="shared" si="1"/>
        <v>1.0413899999999998</v>
      </c>
      <c r="O59" s="368">
        <f t="shared" si="1"/>
        <v>1.06534197</v>
      </c>
      <c r="P59" s="368">
        <f t="shared" si="1"/>
        <v>1.0951715451599999</v>
      </c>
      <c r="Q59" s="368">
        <f t="shared" si="1"/>
        <v>1.1061232606116</v>
      </c>
      <c r="R59" s="640">
        <f t="shared" si="1"/>
        <v>1.1149722466964929</v>
      </c>
    </row>
    <row r="60" spans="1:18" s="89" customFormat="1">
      <c r="A60" s="363">
        <v>2011</v>
      </c>
      <c r="B60" s="366">
        <f t="shared" si="2"/>
        <v>1.0149999999999999</v>
      </c>
      <c r="C60" s="370"/>
      <c r="D60" s="370"/>
      <c r="E60" s="370"/>
      <c r="F60" s="370"/>
      <c r="G60" s="370"/>
      <c r="H60" s="370"/>
      <c r="I60" s="370"/>
      <c r="J60" s="370"/>
      <c r="K60" s="370"/>
      <c r="L60" s="370"/>
      <c r="M60" s="371">
        <v>1</v>
      </c>
      <c r="N60" s="368">
        <f t="shared" si="1"/>
        <v>1.026</v>
      </c>
      <c r="O60" s="368">
        <f t="shared" si="1"/>
        <v>1.049598</v>
      </c>
      <c r="P60" s="368">
        <f t="shared" si="1"/>
        <v>1.0789867440000001</v>
      </c>
      <c r="Q60" s="368">
        <f>Q61*$B61</f>
        <v>1.08977661144</v>
      </c>
      <c r="R60" s="640">
        <f>R61*$B61</f>
        <v>1.0984948243315202</v>
      </c>
    </row>
    <row r="61" spans="1:18" s="89" customFormat="1">
      <c r="A61" s="363">
        <v>2012</v>
      </c>
      <c r="B61" s="366">
        <f t="shared" si="2"/>
        <v>1.026</v>
      </c>
      <c r="C61" s="370"/>
      <c r="D61" s="370"/>
      <c r="E61" s="370"/>
      <c r="F61" s="370"/>
      <c r="G61" s="370"/>
      <c r="H61" s="370"/>
      <c r="I61" s="370"/>
      <c r="J61" s="370"/>
      <c r="K61" s="370"/>
      <c r="L61" s="370"/>
      <c r="M61" s="370"/>
      <c r="N61" s="371">
        <v>1</v>
      </c>
      <c r="O61" s="368">
        <f t="shared" si="1"/>
        <v>1.0229999999999999</v>
      </c>
      <c r="P61" s="368">
        <f t="shared" si="1"/>
        <v>1.051644</v>
      </c>
      <c r="Q61" s="368">
        <f t="shared" si="1"/>
        <v>1.06216044</v>
      </c>
      <c r="R61" s="640">
        <f t="shared" si="1"/>
        <v>1.0706577235200001</v>
      </c>
    </row>
    <row r="62" spans="1:18" s="89" customFormat="1">
      <c r="A62" s="363">
        <v>2013</v>
      </c>
      <c r="B62" s="366">
        <f t="shared" si="2"/>
        <v>1.0229999999999999</v>
      </c>
      <c r="C62" s="370"/>
      <c r="D62" s="370"/>
      <c r="E62" s="370"/>
      <c r="F62" s="370"/>
      <c r="G62" s="370"/>
      <c r="H62" s="370"/>
      <c r="I62" s="370"/>
      <c r="J62" s="370"/>
      <c r="K62" s="370"/>
      <c r="L62" s="370"/>
      <c r="M62" s="370"/>
      <c r="N62" s="370"/>
      <c r="O62" s="371">
        <v>1</v>
      </c>
      <c r="P62" s="368">
        <f>P63*$B63</f>
        <v>1.028</v>
      </c>
      <c r="Q62" s="368">
        <f>Q63*$B63</f>
        <v>1.0382800000000001</v>
      </c>
      <c r="R62" s="640">
        <f>R63*$B63</f>
        <v>1.0465862400000001</v>
      </c>
    </row>
    <row r="63" spans="1:18" s="89" customFormat="1">
      <c r="A63" s="363">
        <v>2014</v>
      </c>
      <c r="B63" s="420">
        <f t="shared" si="2"/>
        <v>1.028</v>
      </c>
      <c r="C63" s="495"/>
      <c r="D63" s="495"/>
      <c r="E63" s="495"/>
      <c r="F63" s="495"/>
      <c r="G63" s="495"/>
      <c r="H63" s="495"/>
      <c r="I63" s="495"/>
      <c r="J63" s="495"/>
      <c r="K63" s="495"/>
      <c r="L63" s="495"/>
      <c r="M63" s="495"/>
      <c r="N63" s="495"/>
      <c r="O63" s="495"/>
      <c r="P63" s="421">
        <v>1</v>
      </c>
      <c r="Q63" s="496">
        <f>Q64*$B64</f>
        <v>1.01</v>
      </c>
      <c r="R63" s="496">
        <f>R64*$B64</f>
        <v>1.0180800000000001</v>
      </c>
    </row>
    <row r="64" spans="1:18" s="89" customFormat="1">
      <c r="A64" s="345">
        <v>2015</v>
      </c>
      <c r="B64" s="497">
        <f t="shared" si="2"/>
        <v>1.01</v>
      </c>
      <c r="C64" s="370"/>
      <c r="D64" s="370"/>
      <c r="E64" s="370"/>
      <c r="F64" s="370"/>
      <c r="G64" s="370"/>
      <c r="H64" s="370"/>
      <c r="I64" s="370"/>
      <c r="J64" s="370"/>
      <c r="K64" s="370"/>
      <c r="L64" s="370"/>
      <c r="M64" s="370"/>
      <c r="N64" s="370"/>
      <c r="O64" s="370"/>
      <c r="P64" s="370"/>
      <c r="Q64" s="371">
        <v>1</v>
      </c>
      <c r="R64" s="445">
        <f>R65*$B65</f>
        <v>1.008</v>
      </c>
    </row>
    <row r="65" spans="1:18" s="89" customFormat="1">
      <c r="A65" s="345">
        <v>2016</v>
      </c>
      <c r="B65" s="642">
        <f>1+B45%</f>
        <v>1.008</v>
      </c>
      <c r="C65" s="372"/>
      <c r="D65" s="372"/>
      <c r="E65" s="372"/>
      <c r="F65" s="372"/>
      <c r="G65" s="372"/>
      <c r="H65" s="372"/>
      <c r="I65" s="372"/>
      <c r="J65" s="372"/>
      <c r="K65" s="372"/>
      <c r="L65" s="372"/>
      <c r="M65" s="372"/>
      <c r="N65" s="372"/>
      <c r="O65" s="372"/>
      <c r="P65" s="372"/>
      <c r="Q65" s="422"/>
      <c r="R65" s="282">
        <v>1</v>
      </c>
    </row>
    <row r="66" spans="1:18" s="89" customFormat="1">
      <c r="A66" s="80"/>
      <c r="B66" s="80"/>
      <c r="C66" s="80"/>
      <c r="D66" s="80"/>
      <c r="E66" s="80"/>
      <c r="F66" s="80"/>
      <c r="G66" s="80"/>
      <c r="H66" s="80"/>
      <c r="I66" s="80"/>
      <c r="J66" s="80"/>
      <c r="K66" s="80"/>
    </row>
    <row r="67" spans="1:18" s="89" customFormat="1" ht="25.5">
      <c r="A67" s="135" t="s">
        <v>565</v>
      </c>
      <c r="B67" s="680" t="s">
        <v>514</v>
      </c>
      <c r="C67" s="424" t="s">
        <v>515</v>
      </c>
      <c r="D67" s="681" t="s">
        <v>524</v>
      </c>
      <c r="E67" s="80"/>
      <c r="F67" s="80"/>
      <c r="G67" s="80"/>
      <c r="H67" s="80"/>
      <c r="I67" s="80"/>
      <c r="J67" s="80"/>
      <c r="K67" s="80"/>
    </row>
    <row r="68" spans="1:18" s="73" customFormat="1">
      <c r="A68" s="125" t="s">
        <v>1117</v>
      </c>
      <c r="B68" s="937">
        <f>100%-C68-D68</f>
        <v>0.91399999999999992</v>
      </c>
      <c r="C68" s="262">
        <v>3.3000000000000002E-2</v>
      </c>
      <c r="D68" s="262">
        <v>5.2999999999999999E-2</v>
      </c>
      <c r="E68" s="675" t="s">
        <v>1118</v>
      </c>
      <c r="F68" s="71"/>
      <c r="G68" s="71"/>
      <c r="H68" s="71"/>
      <c r="I68" s="71"/>
      <c r="J68" s="71"/>
      <c r="K68" s="71"/>
    </row>
    <row r="69" spans="1:18" s="73" customFormat="1">
      <c r="A69" s="125"/>
      <c r="B69" s="726"/>
      <c r="C69" s="726"/>
      <c r="D69" s="876"/>
      <c r="E69" s="675"/>
      <c r="F69" s="71"/>
      <c r="G69" s="71"/>
      <c r="H69" s="71"/>
      <c r="I69" s="71"/>
      <c r="J69" s="71"/>
      <c r="K69" s="71"/>
    </row>
    <row r="70" spans="1:18" s="89" customFormat="1" ht="26.25" customHeight="1">
      <c r="A70" s="434" t="s">
        <v>580</v>
      </c>
      <c r="B70" s="680" t="s">
        <v>514</v>
      </c>
      <c r="C70" s="1104" t="s">
        <v>515</v>
      </c>
      <c r="D70" s="681" t="s">
        <v>524</v>
      </c>
      <c r="E70" s="612" t="s">
        <v>525</v>
      </c>
      <c r="F70" s="612" t="s">
        <v>871</v>
      </c>
      <c r="G70" s="80"/>
      <c r="H70" s="80"/>
      <c r="I70" s="80"/>
      <c r="J70" s="80"/>
      <c r="K70" s="80"/>
    </row>
    <row r="71" spans="1:18" s="89" customFormat="1">
      <c r="A71" s="125" t="s">
        <v>580</v>
      </c>
      <c r="B71" s="1055">
        <v>977321004.0196321</v>
      </c>
      <c r="C71" s="1055">
        <v>35286206.928498752</v>
      </c>
      <c r="D71" s="1055">
        <v>56671786.885164663</v>
      </c>
      <c r="E71" s="1055">
        <v>0</v>
      </c>
      <c r="F71" s="1055">
        <v>98573790.774709851</v>
      </c>
      <c r="G71" s="675" t="s">
        <v>1122</v>
      </c>
      <c r="H71" s="71"/>
      <c r="I71" s="71"/>
      <c r="J71" s="71"/>
      <c r="K71" s="71"/>
      <c r="L71" s="73"/>
      <c r="M71" s="73"/>
      <c r="N71" s="73"/>
      <c r="O71" s="73"/>
      <c r="P71" s="73"/>
    </row>
    <row r="72" spans="1:18" s="73" customFormat="1">
      <c r="A72" s="71"/>
      <c r="B72" s="71"/>
      <c r="C72" s="71"/>
      <c r="D72" s="71"/>
      <c r="E72" s="71"/>
      <c r="F72" s="71"/>
      <c r="G72" s="80"/>
      <c r="H72" s="80"/>
      <c r="I72" s="80"/>
      <c r="J72" s="80"/>
      <c r="K72" s="80"/>
      <c r="L72" s="89"/>
      <c r="M72" s="89"/>
      <c r="N72" s="89"/>
      <c r="O72" s="89"/>
      <c r="P72" s="89"/>
    </row>
    <row r="73" spans="1:18" s="89" customFormat="1" ht="29.25" customHeight="1">
      <c r="A73" s="1085" t="s">
        <v>1108</v>
      </c>
      <c r="B73" s="680" t="s">
        <v>514</v>
      </c>
      <c r="C73" s="1104" t="s">
        <v>515</v>
      </c>
      <c r="D73" s="681" t="s">
        <v>524</v>
      </c>
      <c r="E73" s="612" t="s">
        <v>525</v>
      </c>
      <c r="F73" s="612" t="s">
        <v>871</v>
      </c>
      <c r="G73" s="80"/>
      <c r="H73" s="80"/>
      <c r="I73" s="80"/>
      <c r="J73" s="80"/>
      <c r="K73" s="80"/>
    </row>
    <row r="74" spans="1:18" s="89" customFormat="1">
      <c r="A74" s="1056" t="s">
        <v>1101</v>
      </c>
      <c r="B74" s="1057">
        <f>B71*(1+B43%-B18)</f>
        <v>949565087.50547457</v>
      </c>
      <c r="C74" s="1058">
        <f>C71*(1+B43%-B19)</f>
        <v>34284078.65172939</v>
      </c>
      <c r="D74" s="1058">
        <f>D71*(1+B43%-B20)</f>
        <v>54535260.519593962</v>
      </c>
      <c r="E74" s="1058">
        <f>E71*(1+B43%-B21)</f>
        <v>0</v>
      </c>
      <c r="F74" s="1058">
        <f>F71*(1+B43%-B22)</f>
        <v>92156636.995276242</v>
      </c>
      <c r="G74" s="80"/>
      <c r="H74" s="80"/>
      <c r="I74" s="80"/>
      <c r="J74" s="80"/>
      <c r="K74" s="80"/>
    </row>
    <row r="75" spans="1:18" s="89" customFormat="1">
      <c r="A75" s="1135" t="s">
        <v>1054</v>
      </c>
      <c r="B75" s="1136">
        <v>972721642.17261302</v>
      </c>
      <c r="C75" s="878">
        <v>39838041.567474172</v>
      </c>
      <c r="D75" s="1136">
        <v>55779461.753934272</v>
      </c>
      <c r="E75" s="1374"/>
      <c r="F75" s="878">
        <v>80929382.472526193</v>
      </c>
      <c r="G75" s="675" t="s">
        <v>1119</v>
      </c>
      <c r="H75" s="80"/>
      <c r="I75" s="80"/>
      <c r="J75" s="80"/>
      <c r="K75" s="80"/>
    </row>
    <row r="76" spans="1:18">
      <c r="A76" s="89" t="s">
        <v>1035</v>
      </c>
      <c r="B76" s="877">
        <v>958750723.43193209</v>
      </c>
      <c r="C76" s="878">
        <v>38225213.660000004</v>
      </c>
      <c r="D76" s="878">
        <v>34208590.454470299</v>
      </c>
      <c r="E76" s="1374"/>
      <c r="F76" s="878">
        <v>77373310.019999996</v>
      </c>
      <c r="G76" s="675" t="s">
        <v>1080</v>
      </c>
      <c r="H76" s="80"/>
      <c r="I76" s="80"/>
      <c r="J76" s="80"/>
    </row>
    <row r="77" spans="1:18" s="89" customFormat="1">
      <c r="A77" s="73"/>
      <c r="B77" s="73"/>
      <c r="C77" s="71"/>
      <c r="D77" s="71"/>
      <c r="E77" s="71"/>
      <c r="F77" s="71"/>
      <c r="G77" s="80"/>
      <c r="H77" s="80"/>
      <c r="I77" s="80"/>
      <c r="J77" s="80"/>
      <c r="K77" s="80"/>
    </row>
    <row r="78" spans="1:18" s="89" customFormat="1" ht="25.5">
      <c r="A78" s="1085" t="s">
        <v>1107</v>
      </c>
      <c r="B78" s="680" t="s">
        <v>514</v>
      </c>
      <c r="C78" s="1104" t="s">
        <v>515</v>
      </c>
      <c r="D78" s="681" t="s">
        <v>524</v>
      </c>
      <c r="E78" s="612" t="s">
        <v>525</v>
      </c>
      <c r="F78" s="612" t="s">
        <v>871</v>
      </c>
      <c r="G78" s="790" t="s">
        <v>513</v>
      </c>
      <c r="H78" s="80"/>
      <c r="I78" s="80"/>
      <c r="J78" s="80"/>
      <c r="K78" s="80"/>
    </row>
    <row r="79" spans="1:18" s="89" customFormat="1">
      <c r="A79" s="1056" t="s">
        <v>1102</v>
      </c>
      <c r="B79" s="1057">
        <f>B74*(1+B44%-B18)</f>
        <v>905505267.44522059</v>
      </c>
      <c r="C79" s="1058">
        <f>C74*(1+B44%-B19)</f>
        <v>32693297.402289145</v>
      </c>
      <c r="D79" s="1058">
        <f>D74*(1+B44%-B20)</f>
        <v>51497646.508652583</v>
      </c>
      <c r="E79" s="1058">
        <f>E74*(1+B44%-B21)</f>
        <v>0</v>
      </c>
      <c r="F79" s="1058">
        <f>F74*(1+B44%-B22)</f>
        <v>84498420.460968792</v>
      </c>
      <c r="G79" s="101"/>
      <c r="H79" s="101"/>
      <c r="I79" s="101"/>
      <c r="J79" s="101"/>
      <c r="K79" s="101"/>
      <c r="L79" s="21"/>
      <c r="M79" s="21"/>
      <c r="N79" s="21"/>
      <c r="O79" s="21"/>
      <c r="P79" s="21"/>
    </row>
    <row r="80" spans="1:18" s="89" customFormat="1">
      <c r="A80" s="1135" t="s">
        <v>1106</v>
      </c>
      <c r="B80" s="1136">
        <v>970808310.19674706</v>
      </c>
      <c r="C80" s="303">
        <v>31834204.441548876</v>
      </c>
      <c r="D80" s="1136">
        <v>52686745.155707978</v>
      </c>
      <c r="E80" s="878">
        <v>180961.18612986797</v>
      </c>
      <c r="F80" s="878">
        <v>71482591.365229532</v>
      </c>
      <c r="G80" s="675" t="s">
        <v>1120</v>
      </c>
      <c r="H80" s="101"/>
      <c r="I80" s="101"/>
      <c r="J80" s="101"/>
      <c r="K80" s="101"/>
      <c r="L80" s="21"/>
      <c r="M80" s="21"/>
      <c r="N80" s="21"/>
      <c r="O80" s="21"/>
      <c r="P80" s="21"/>
    </row>
    <row r="81" spans="1:18" s="89" customFormat="1">
      <c r="A81" s="71"/>
      <c r="B81" s="71"/>
      <c r="C81" s="71"/>
      <c r="D81" s="71"/>
      <c r="E81" s="71"/>
      <c r="F81" s="71"/>
      <c r="G81" s="101"/>
      <c r="H81" s="101"/>
      <c r="I81" s="101"/>
      <c r="J81" s="101"/>
      <c r="K81" s="101"/>
      <c r="L81" s="21"/>
      <c r="M81" s="21"/>
      <c r="N81" s="21"/>
      <c r="O81" s="21"/>
      <c r="P81" s="21"/>
    </row>
    <row r="82" spans="1:18" ht="25.5">
      <c r="A82" s="1085" t="s">
        <v>1091</v>
      </c>
      <c r="B82" s="680" t="s">
        <v>514</v>
      </c>
      <c r="C82" s="1104" t="s">
        <v>515</v>
      </c>
      <c r="D82" s="681" t="s">
        <v>524</v>
      </c>
      <c r="E82" s="612" t="s">
        <v>525</v>
      </c>
      <c r="F82" s="612" t="s">
        <v>871</v>
      </c>
      <c r="G82" s="101"/>
      <c r="H82" s="861"/>
      <c r="I82" s="101"/>
      <c r="J82" s="101"/>
      <c r="K82" s="101"/>
    </row>
    <row r="83" spans="1:18">
      <c r="A83" s="1056" t="s">
        <v>1036</v>
      </c>
      <c r="B83" s="1057">
        <f>B79*(1+B45%-B18)</f>
        <v>861678812.5008719</v>
      </c>
      <c r="C83" s="1058">
        <f>C79*(1+B45%-B19)</f>
        <v>31110941.808018349</v>
      </c>
      <c r="D83" s="1058">
        <f>D79*(1+B45%-B20)</f>
        <v>48526232.305103332</v>
      </c>
      <c r="E83" s="1058">
        <f>E79*(1+B45%-B21)</f>
        <v>0</v>
      </c>
      <c r="F83" s="1058">
        <f>F79*(1+B45%-B22)</f>
        <v>77307604.879740357</v>
      </c>
      <c r="G83" s="101"/>
      <c r="H83" s="21"/>
      <c r="I83" s="393"/>
      <c r="J83" s="101"/>
      <c r="K83" s="101"/>
    </row>
    <row r="84" spans="1:18" ht="12" customHeight="1">
      <c r="A84" s="1056" t="s">
        <v>1037</v>
      </c>
      <c r="B84" s="151">
        <f>B83-SUM(TAR_Tab_3_Tariefaanpassing!B6:B8)-SUMPRODUCT('TAR_Tab 14_Overige tarieven'!O10:O12,'TAR_Tab 14_Overige tarieven'!D10:D12)</f>
        <v>854760619.38343453</v>
      </c>
      <c r="C84" s="285"/>
      <c r="D84" s="285"/>
      <c r="E84" s="285"/>
      <c r="F84" s="285"/>
      <c r="G84" s="1418" t="s">
        <v>1082</v>
      </c>
      <c r="H84" s="1418"/>
      <c r="I84" s="1418"/>
      <c r="J84" s="1418"/>
      <c r="K84" s="1418"/>
      <c r="L84" s="1418"/>
      <c r="M84" s="1418"/>
      <c r="N84" s="1418"/>
      <c r="O84" s="1418"/>
      <c r="P84" s="1418"/>
      <c r="Q84" s="1418"/>
      <c r="R84" s="1418"/>
    </row>
    <row r="85" spans="1:18">
      <c r="A85" s="228"/>
      <c r="B85" s="21"/>
      <c r="C85" s="101"/>
      <c r="D85" s="101"/>
      <c r="E85" s="101"/>
      <c r="F85" s="101"/>
      <c r="G85" s="1418"/>
      <c r="H85" s="1418"/>
      <c r="I85" s="1418"/>
      <c r="J85" s="1418"/>
      <c r="K85" s="1418"/>
      <c r="L85" s="1418"/>
      <c r="M85" s="1418"/>
      <c r="N85" s="1418"/>
      <c r="O85" s="1418"/>
      <c r="P85" s="1418"/>
      <c r="Q85" s="1418"/>
      <c r="R85" s="1418"/>
    </row>
    <row r="86" spans="1:18" ht="15" customHeight="1">
      <c r="A86" s="71"/>
      <c r="B86" s="101"/>
      <c r="C86" s="101"/>
      <c r="D86" s="101"/>
      <c r="E86" s="101"/>
      <c r="F86" s="101"/>
      <c r="G86" s="1418"/>
      <c r="H86" s="1418"/>
      <c r="I86" s="1418"/>
      <c r="J86" s="1418"/>
      <c r="K86" s="1418"/>
      <c r="L86" s="1418"/>
      <c r="M86" s="1418"/>
      <c r="N86" s="1418"/>
      <c r="O86" s="1418"/>
      <c r="P86" s="1418"/>
      <c r="Q86" s="1418"/>
      <c r="R86" s="1418"/>
    </row>
    <row r="87" spans="1:18" ht="300.75" customHeight="1">
      <c r="A87" s="1415" t="s">
        <v>1123</v>
      </c>
      <c r="B87" s="1415"/>
      <c r="C87" s="1415"/>
      <c r="D87" s="1415"/>
      <c r="E87" s="1415"/>
      <c r="F87" s="1415"/>
      <c r="G87" s="1103"/>
      <c r="H87" s="1103"/>
      <c r="I87" s="1103"/>
      <c r="J87" s="1103"/>
      <c r="K87" s="1103"/>
      <c r="L87" s="1103"/>
      <c r="M87" s="1103"/>
      <c r="N87" s="1103"/>
      <c r="O87" s="1103"/>
      <c r="P87" s="1103"/>
    </row>
    <row r="88" spans="1:18">
      <c r="A88" s="101"/>
      <c r="B88" s="101"/>
      <c r="C88" s="101"/>
      <c r="D88" s="101"/>
      <c r="E88" s="101"/>
      <c r="F88" s="101"/>
      <c r="G88" s="1103"/>
      <c r="H88" s="1103"/>
      <c r="I88" s="1103"/>
      <c r="J88" s="1103"/>
      <c r="K88" s="1103"/>
      <c r="L88" s="1103"/>
      <c r="M88" s="1103"/>
      <c r="N88" s="1103"/>
      <c r="O88" s="1103"/>
      <c r="P88" s="1103"/>
    </row>
    <row r="89" spans="1:18" ht="25.5">
      <c r="A89" s="434" t="s">
        <v>1085</v>
      </c>
      <c r="B89" s="680" t="s">
        <v>514</v>
      </c>
      <c r="C89" s="681" t="s">
        <v>524</v>
      </c>
      <c r="D89" s="21"/>
      <c r="E89" s="790"/>
      <c r="F89" s="790"/>
      <c r="G89" s="80"/>
      <c r="H89" s="80"/>
      <c r="I89" s="80"/>
      <c r="J89" s="80"/>
    </row>
    <row r="90" spans="1:18">
      <c r="A90" s="125" t="s">
        <v>1103</v>
      </c>
      <c r="B90" s="1055">
        <v>996568025.98063099</v>
      </c>
      <c r="C90" s="1055">
        <v>37424764.924165346</v>
      </c>
      <c r="D90" s="340" t="s">
        <v>1100</v>
      </c>
      <c r="E90" s="1137"/>
      <c r="F90" s="1137"/>
      <c r="G90" s="21"/>
      <c r="H90" s="71"/>
      <c r="I90" s="71"/>
      <c r="J90" s="71"/>
    </row>
    <row r="91" spans="1:18">
      <c r="A91" s="71"/>
      <c r="B91" s="71"/>
      <c r="C91" s="71"/>
      <c r="D91" s="80"/>
      <c r="E91" s="72"/>
      <c r="F91" s="72"/>
      <c r="G91" s="21"/>
      <c r="H91" s="80"/>
      <c r="I91" s="80"/>
      <c r="J91" s="80"/>
    </row>
    <row r="92" spans="1:18" ht="25.5">
      <c r="A92" s="1085" t="s">
        <v>1104</v>
      </c>
      <c r="B92" s="680" t="s">
        <v>514</v>
      </c>
      <c r="C92" s="681" t="s">
        <v>524</v>
      </c>
      <c r="D92" s="80"/>
      <c r="E92" s="790"/>
      <c r="F92" s="790"/>
      <c r="G92" s="21"/>
      <c r="H92" s="80"/>
      <c r="I92" s="80"/>
      <c r="J92" s="80"/>
    </row>
    <row r="93" spans="1:18">
      <c r="A93" s="1056" t="s">
        <v>1083</v>
      </c>
      <c r="B93" s="1057">
        <f>B90*(1+$B$43%-B18)</f>
        <v>968265494.04278111</v>
      </c>
      <c r="C93" s="1058">
        <f>C90*(1+$B$43%-B20)</f>
        <v>36013851.286524311</v>
      </c>
      <c r="D93" s="80"/>
      <c r="E93" s="1138"/>
      <c r="F93" s="1138"/>
      <c r="G93" s="21"/>
      <c r="H93" s="80"/>
      <c r="I93" s="80"/>
      <c r="J93" s="80"/>
    </row>
    <row r="94" spans="1:18">
      <c r="A94" s="1056" t="s">
        <v>1086</v>
      </c>
      <c r="B94" s="877">
        <v>991839179.71912599</v>
      </c>
      <c r="C94" s="878">
        <v>36840921.511658549</v>
      </c>
      <c r="D94" s="675" t="s">
        <v>938</v>
      </c>
      <c r="E94" s="879"/>
      <c r="F94" s="879"/>
      <c r="G94" s="21"/>
      <c r="H94" s="80"/>
      <c r="I94" s="80"/>
      <c r="J94" s="80"/>
    </row>
    <row r="95" spans="1:18">
      <c r="A95" s="73"/>
      <c r="B95" s="73"/>
      <c r="C95" s="71"/>
      <c r="D95" s="21"/>
      <c r="E95" s="72"/>
      <c r="F95" s="72"/>
      <c r="G95" s="80"/>
      <c r="H95" s="80"/>
      <c r="I95" s="80"/>
      <c r="J95" s="80"/>
    </row>
    <row r="96" spans="1:18" ht="25.5">
      <c r="A96" s="1085" t="s">
        <v>1105</v>
      </c>
      <c r="B96" s="680" t="s">
        <v>514</v>
      </c>
      <c r="C96" s="681" t="s">
        <v>524</v>
      </c>
      <c r="D96" s="89" t="s">
        <v>513</v>
      </c>
      <c r="E96" s="790"/>
      <c r="F96" s="790"/>
      <c r="G96" s="80"/>
      <c r="H96" s="80"/>
      <c r="I96" s="80"/>
      <c r="J96" s="80"/>
    </row>
    <row r="97" spans="1:11">
      <c r="A97" s="1056" t="s">
        <v>1083</v>
      </c>
      <c r="B97" s="151">
        <f>B93*(1+$B$44%-B18)</f>
        <v>923337975.11919606</v>
      </c>
      <c r="C97" s="151">
        <f>C93*(1+$B$44%-B20)</f>
        <v>34007879.769864909</v>
      </c>
      <c r="D97" s="21"/>
      <c r="E97" s="112"/>
      <c r="F97" s="112"/>
    </row>
    <row r="98" spans="1:11">
      <c r="A98" s="1056" t="s">
        <v>1086</v>
      </c>
      <c r="B98" s="303">
        <v>989043347.46157718</v>
      </c>
      <c r="C98" s="733">
        <v>34794648.82606566</v>
      </c>
      <c r="D98" s="675" t="s">
        <v>937</v>
      </c>
      <c r="E98" s="112"/>
      <c r="F98" s="112"/>
      <c r="G98" s="101"/>
      <c r="H98" s="101"/>
      <c r="I98" s="101"/>
      <c r="J98" s="101"/>
      <c r="K98" s="101"/>
    </row>
    <row r="99" spans="1:11">
      <c r="A99" s="21"/>
      <c r="B99" s="21"/>
      <c r="C99" s="21"/>
      <c r="D99" s="21"/>
      <c r="E99" s="36"/>
      <c r="F99" s="36"/>
      <c r="G99" s="21"/>
      <c r="H99" s="21"/>
      <c r="I99" s="21"/>
      <c r="J99" s="21"/>
      <c r="K99" s="21"/>
    </row>
    <row r="100" spans="1:11" ht="25.5">
      <c r="A100" s="1085" t="s">
        <v>1088</v>
      </c>
      <c r="B100" s="680" t="s">
        <v>514</v>
      </c>
      <c r="C100" s="681" t="s">
        <v>524</v>
      </c>
      <c r="D100" s="21"/>
      <c r="E100" s="790"/>
      <c r="F100" s="790"/>
      <c r="G100" s="21"/>
      <c r="H100" s="21"/>
      <c r="I100" s="21"/>
      <c r="J100" s="21"/>
      <c r="K100" s="21"/>
    </row>
    <row r="101" spans="1:11" ht="15" customHeight="1">
      <c r="A101" s="1056" t="s">
        <v>1088</v>
      </c>
      <c r="B101" s="151">
        <f>B97*(1+$B$45%-B18)</f>
        <v>878648417.12342691</v>
      </c>
      <c r="C101" s="151">
        <f>C97*(1+$B$45%-B20)</f>
        <v>32045625.107143704</v>
      </c>
      <c r="D101" s="21"/>
      <c r="E101" s="112"/>
      <c r="F101" s="112"/>
      <c r="G101" s="21"/>
      <c r="H101" s="21"/>
      <c r="I101" s="21"/>
      <c r="J101" s="21"/>
      <c r="K101" s="21"/>
    </row>
  </sheetData>
  <mergeCells count="3">
    <mergeCell ref="A87:F87"/>
    <mergeCell ref="A1:Q1"/>
    <mergeCell ref="G84:R86"/>
  </mergeCells>
  <phoneticPr fontId="21" type="noConversion"/>
  <hyperlinks>
    <hyperlink ref="T3" r:id="rId1"/>
  </hyperlinks>
  <pageMargins left="0.75" right="0.75" top="1" bottom="1" header="0.5" footer="0.5"/>
  <pageSetup paperSize="9" scale="27" orientation="landscape" r:id="rId2"/>
  <headerFooter alignWithMargins="0">
    <oddFooter>&amp;LEnergiekamer NMa&amp;R&amp;F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showGridLines="0" zoomScale="70" zoomScaleNormal="70" zoomScaleSheetLayoutView="70" workbookViewId="0"/>
  </sheetViews>
  <sheetFormatPr defaultRowHeight="12.75"/>
  <cols>
    <col min="1" max="1" width="84.5703125" customWidth="1"/>
    <col min="2" max="2" width="21.42578125" customWidth="1"/>
    <col min="3" max="3" width="23" customWidth="1"/>
    <col min="4" max="4" width="24.7109375" customWidth="1"/>
    <col min="5" max="5" width="22.7109375" customWidth="1"/>
    <col min="6" max="6" width="21.140625" customWidth="1"/>
    <col min="7" max="7" width="12.42578125" customWidth="1"/>
    <col min="8" max="8" width="18.85546875" customWidth="1"/>
    <col min="9" max="9" width="18.28515625" customWidth="1"/>
    <col min="10" max="10" width="16.140625" customWidth="1"/>
    <col min="11" max="11" width="23.7109375" customWidth="1"/>
    <col min="12" max="12" width="14.7109375" customWidth="1"/>
    <col min="13" max="13" width="13.140625" customWidth="1"/>
    <col min="14" max="14" width="14.5703125" customWidth="1"/>
    <col min="15" max="15" width="18.5703125" customWidth="1"/>
    <col min="16" max="16" width="15" customWidth="1"/>
    <col min="17" max="17" width="15.42578125" customWidth="1"/>
  </cols>
  <sheetData>
    <row r="1" spans="1:6" s="11" customFormat="1" ht="23.25" customHeight="1">
      <c r="A1" s="9" t="s">
        <v>1128</v>
      </c>
      <c r="B1" s="12"/>
      <c r="C1" s="419"/>
      <c r="D1" s="419"/>
      <c r="E1" s="419"/>
      <c r="F1" s="652" t="s">
        <v>143</v>
      </c>
    </row>
    <row r="2" spans="1:6">
      <c r="A2" s="35"/>
      <c r="B2" s="152"/>
    </row>
    <row r="3" spans="1:6">
      <c r="A3" s="865" t="s">
        <v>935</v>
      </c>
      <c r="B3" s="890" t="s">
        <v>514</v>
      </c>
      <c r="C3" s="891" t="s">
        <v>515</v>
      </c>
      <c r="D3" s="891" t="s">
        <v>524</v>
      </c>
      <c r="E3" s="891" t="s">
        <v>525</v>
      </c>
      <c r="F3" s="891" t="s">
        <v>16</v>
      </c>
    </row>
    <row r="5" spans="1:6">
      <c r="A5" t="s">
        <v>0</v>
      </c>
      <c r="B5" s="142">
        <v>2595642.76630795</v>
      </c>
      <c r="C5" s="662"/>
      <c r="D5" s="662"/>
      <c r="E5" s="662"/>
      <c r="F5" s="662"/>
    </row>
    <row r="6" spans="1:6">
      <c r="A6" t="s">
        <v>1</v>
      </c>
      <c r="B6" s="142">
        <v>-2595642.7663080692</v>
      </c>
      <c r="C6" s="662"/>
      <c r="D6" s="662"/>
      <c r="E6" s="662"/>
      <c r="F6" s="662"/>
    </row>
    <row r="7" spans="1:6">
      <c r="A7" t="s">
        <v>101</v>
      </c>
      <c r="B7" s="142">
        <f>SUM('TAR_Tab 13_Connectiontarieven'!G7:G557)-SUM('TAR_Tab 13_Connectiontarieven'!M7:M557)</f>
        <v>0</v>
      </c>
      <c r="C7" s="662"/>
      <c r="D7" s="797"/>
      <c r="E7" s="662"/>
      <c r="F7" s="662"/>
    </row>
    <row r="8" spans="1:6">
      <c r="A8" t="s">
        <v>507</v>
      </c>
      <c r="B8" s="142">
        <f>'TAR_Tab 14_Overige tarieven'!H10*'TAR_Tab 14_Overige tarieven'!D10-('TAR_Tab 14_Overige tarieven'!D10*'TAR_Tab 14_Overige tarieven'!O10)</f>
        <v>0</v>
      </c>
      <c r="C8" s="662"/>
      <c r="D8" s="662"/>
      <c r="E8" s="662"/>
      <c r="F8" s="662"/>
    </row>
    <row r="9" spans="1:6">
      <c r="A9" t="s">
        <v>102</v>
      </c>
      <c r="B9" s="142">
        <f>'TAR_Tab 14_Overige tarieven'!H11*'TAR_Tab 14_Overige tarieven'!D11-'TAR_Tab 14_Overige tarieven'!D11*'TAR_Tab 14_Overige tarieven'!O11</f>
        <v>0</v>
      </c>
      <c r="C9" s="662"/>
      <c r="D9" s="662"/>
      <c r="E9" s="662"/>
      <c r="F9" s="662"/>
    </row>
    <row r="10" spans="1:6" s="101" customFormat="1">
      <c r="A10" s="80" t="s">
        <v>549</v>
      </c>
      <c r="B10" s="142">
        <f>'TAR_Tab 14_Overige tarieven'!H12*'TAR_Tab 14_Overige tarieven'!D12-'TAR_Tab 14_Overige tarieven'!D12*'TAR_Tab 14_Overige tarieven'!O12</f>
        <v>0</v>
      </c>
      <c r="C10" s="662"/>
      <c r="D10" s="662"/>
      <c r="E10" s="662"/>
      <c r="F10" s="662"/>
    </row>
    <row r="11" spans="1:6">
      <c r="B11" s="80"/>
    </row>
    <row r="12" spans="1:6">
      <c r="A12" s="102" t="s">
        <v>550</v>
      </c>
      <c r="B12" s="139">
        <f>SUM(B5:B10)</f>
        <v>-1.1920928955078125E-7</v>
      </c>
      <c r="C12" s="798" t="s">
        <v>926</v>
      </c>
      <c r="D12" s="798" t="s">
        <v>926</v>
      </c>
      <c r="E12" s="798" t="s">
        <v>926</v>
      </c>
      <c r="F12" s="798" t="s">
        <v>926</v>
      </c>
    </row>
    <row r="13" spans="1:6">
      <c r="A13" s="22"/>
    </row>
    <row r="14" spans="1:6">
      <c r="A14" s="91" t="s">
        <v>1066</v>
      </c>
      <c r="B14" s="890" t="s">
        <v>514</v>
      </c>
      <c r="C14" s="890" t="s">
        <v>515</v>
      </c>
      <c r="D14" s="890" t="s">
        <v>524</v>
      </c>
      <c r="E14" s="890" t="s">
        <v>525</v>
      </c>
      <c r="F14" s="890" t="s">
        <v>16</v>
      </c>
    </row>
    <row r="15" spans="1:6" s="101" customFormat="1">
      <c r="A15" s="94"/>
      <c r="B15" s="246"/>
      <c r="C15" s="246"/>
      <c r="D15" s="246"/>
      <c r="E15" s="246"/>
      <c r="F15" s="246"/>
    </row>
    <row r="16" spans="1:6" s="21" customFormat="1">
      <c r="A16" s="264" t="s">
        <v>1065</v>
      </c>
      <c r="B16" s="246"/>
      <c r="C16" s="246"/>
      <c r="D16" s="246"/>
      <c r="E16" s="246"/>
      <c r="F16" s="246"/>
    </row>
    <row r="17" spans="1:17">
      <c r="A17" s="80" t="s">
        <v>1040</v>
      </c>
      <c r="B17" s="538">
        <f>Parameters!B83</f>
        <v>861678812.5008719</v>
      </c>
      <c r="C17" s="538">
        <f>Parameters!C83</f>
        <v>31110941.808018349</v>
      </c>
      <c r="D17" s="538">
        <f>Parameters!D83</f>
        <v>48526232.305103332</v>
      </c>
      <c r="E17" s="538">
        <f>'TAR_Tab 6_NPD'!C60</f>
        <v>522377.73071476113</v>
      </c>
      <c r="F17" s="287">
        <f>Parameters!F83</f>
        <v>77307604.879740357</v>
      </c>
      <c r="H17" s="21"/>
      <c r="I17" s="21"/>
      <c r="J17" s="21"/>
      <c r="K17" s="21"/>
    </row>
    <row r="18" spans="1:17" s="101" customFormat="1">
      <c r="A18" s="747" t="s">
        <v>978</v>
      </c>
      <c r="B18" s="538">
        <f>'TAR_Tab_4_Cor. verdeelsleutel'!B21</f>
        <v>-39641967.365731716</v>
      </c>
      <c r="C18" s="662"/>
      <c r="D18" s="538">
        <f>'TAR_Tab_4_Cor. verdeelsleutel'!C21</f>
        <v>39091705.308873415</v>
      </c>
      <c r="E18" s="662"/>
      <c r="F18" s="1054"/>
      <c r="H18" s="21"/>
      <c r="I18" s="21"/>
      <c r="J18" s="21"/>
      <c r="K18" s="21"/>
    </row>
    <row r="19" spans="1:17" ht="14.25" customHeight="1">
      <c r="A19" s="747" t="s">
        <v>1068</v>
      </c>
      <c r="B19" s="538">
        <f>'TAR_Tab 5_UI'!B212</f>
        <v>41018873.052571006</v>
      </c>
      <c r="C19" s="538">
        <f>'TAR_Tab 5_UI'!B214</f>
        <v>1418824.1471085839</v>
      </c>
      <c r="D19" s="538">
        <f>'TAR_Tab 5_UI'!B213</f>
        <v>556973.92482292722</v>
      </c>
      <c r="E19" s="662"/>
      <c r="F19" s="538">
        <f>'TAR_Tab 5_UI'!B215</f>
        <v>4646371.5271135485</v>
      </c>
      <c r="H19" s="21"/>
      <c r="I19" s="21"/>
      <c r="J19" s="21"/>
      <c r="K19" s="21"/>
    </row>
    <row r="20" spans="1:17" s="101" customFormat="1">
      <c r="A20" s="747" t="s">
        <v>1069</v>
      </c>
      <c r="B20" s="538">
        <f>'TAR_Tab 6_NPD'!B25</f>
        <v>0</v>
      </c>
      <c r="C20" s="538">
        <f>'TAR_Tab 6_NPD'!B26</f>
        <v>0</v>
      </c>
      <c r="D20" s="662"/>
      <c r="E20" s="662"/>
      <c r="F20" s="538">
        <f>'TAR_Tab 6_NPD'!B27</f>
        <v>0</v>
      </c>
      <c r="H20" s="21"/>
      <c r="I20" s="21"/>
      <c r="J20" s="21"/>
      <c r="K20" s="21"/>
    </row>
    <row r="21" spans="1:17" s="101" customFormat="1">
      <c r="A21" s="747" t="s">
        <v>1070</v>
      </c>
      <c r="B21" s="538">
        <f>'TAR_Tab 7_MFA '!B43</f>
        <v>1545283.5773823231</v>
      </c>
      <c r="C21" s="538">
        <f>'TAR_Tab 7_MFA '!B44</f>
        <v>55792.514281856311</v>
      </c>
      <c r="D21" s="662"/>
      <c r="E21" s="662"/>
      <c r="F21" s="662"/>
      <c r="H21" s="21"/>
      <c r="I21" s="21"/>
      <c r="J21" s="21"/>
      <c r="K21" s="21"/>
    </row>
    <row r="22" spans="1:17" s="101" customFormat="1" ht="14.25" customHeight="1">
      <c r="A22" s="747" t="s">
        <v>1071</v>
      </c>
      <c r="B22" s="538">
        <f>'TAR-Tab_8_Nacalculaties 14-16'!B11</f>
        <v>35788474.32022889</v>
      </c>
      <c r="C22" s="538">
        <f>'TAR-Tab_8_Nacalculaties 14-16'!C11</f>
        <v>1744434.6647240585</v>
      </c>
      <c r="D22" s="538">
        <f>'TAR-Tab_8_Nacalculaties 14-16'!D11</f>
        <v>2847129.2714548092</v>
      </c>
      <c r="E22" s="1340"/>
      <c r="F22" s="538">
        <f>'TAR-Tab_8_Nacalculaties 14-16'!F11</f>
        <v>3846247.9646523315</v>
      </c>
      <c r="H22" s="21"/>
      <c r="I22" s="21"/>
      <c r="J22" s="21"/>
      <c r="K22" s="21"/>
    </row>
    <row r="23" spans="1:17">
      <c r="A23" s="747" t="s">
        <v>1072</v>
      </c>
      <c r="B23" s="538">
        <f>'TAR-Tab_8_Nacalculaties 14-16'!B20</f>
        <v>-4683658.9425599966</v>
      </c>
      <c r="C23" s="663"/>
      <c r="D23" s="662"/>
      <c r="E23" s="662"/>
      <c r="F23" s="662"/>
      <c r="H23" s="21"/>
      <c r="I23" s="21"/>
      <c r="J23" s="21"/>
      <c r="K23" s="21"/>
    </row>
    <row r="24" spans="1:17">
      <c r="A24" s="747" t="s">
        <v>1073</v>
      </c>
      <c r="B24" s="538">
        <f>'TAR-Tab_8_Nacalculaties 14-16'!B31</f>
        <v>-176204.53759999987</v>
      </c>
      <c r="C24" s="663"/>
      <c r="D24" s="662"/>
      <c r="E24" s="662"/>
      <c r="F24" s="662"/>
      <c r="H24" s="21"/>
      <c r="I24" s="21"/>
      <c r="J24" s="21"/>
      <c r="K24" s="21"/>
    </row>
    <row r="25" spans="1:17" s="101" customFormat="1">
      <c r="A25" s="747" t="s">
        <v>1074</v>
      </c>
      <c r="B25" s="538">
        <f>'TAR-Tab_8_Nacalculaties 14-16'!B47</f>
        <v>-14569026.087000458</v>
      </c>
      <c r="C25" s="538">
        <f>'TAR-Tab_8_Nacalculaties 14-16'!C47</f>
        <v>-526015.16506675608</v>
      </c>
      <c r="D25" s="538">
        <f>'TAR-Tab_8_Nacalculaties 14-16'!D47</f>
        <v>-844812.23480418406</v>
      </c>
      <c r="E25" s="662"/>
      <c r="F25" s="538">
        <f>'TAR-Tab_8_Nacalculaties 14-16'!F47</f>
        <v>-567704.71110230591</v>
      </c>
      <c r="H25" s="21"/>
      <c r="I25" s="21"/>
      <c r="J25" s="21"/>
      <c r="K25" s="21"/>
    </row>
    <row r="26" spans="1:17">
      <c r="A26" s="747" t="s">
        <v>1075</v>
      </c>
      <c r="B26" s="662"/>
      <c r="C26" s="538">
        <f>'TAR-Tab_8_Nacalculaties 14-16'!C54</f>
        <v>-563443.29599999962</v>
      </c>
      <c r="D26" s="662"/>
      <c r="E26" s="662"/>
      <c r="F26" s="663"/>
      <c r="H26" s="21"/>
      <c r="I26" s="21"/>
      <c r="J26" s="21"/>
      <c r="K26" s="21"/>
    </row>
    <row r="27" spans="1:17">
      <c r="A27" s="747" t="s">
        <v>1076</v>
      </c>
      <c r="B27" s="287">
        <f>'TAR-Tab 10_incidenteel'!D42</f>
        <v>1149546.2079268266</v>
      </c>
      <c r="C27" s="287">
        <f>'TAR-Tab 10_incidenteel'!E42</f>
        <v>39229.601718288803</v>
      </c>
      <c r="D27" s="287">
        <f>'TAR-Tab 10_incidenteel'!F42</f>
        <v>0</v>
      </c>
      <c r="E27" s="287">
        <f>'TAR-Tab 10_incidenteel'!G42</f>
        <v>0</v>
      </c>
      <c r="F27" s="287">
        <f>'TAR-Tab 10_incidenteel'!H42</f>
        <v>0</v>
      </c>
      <c r="H27" s="21"/>
      <c r="I27" s="21"/>
      <c r="J27" s="21"/>
      <c r="K27" s="21"/>
    </row>
    <row r="28" spans="1:17" s="101" customFormat="1" ht="13.5" thickBot="1">
      <c r="A28" s="747" t="s">
        <v>1077</v>
      </c>
      <c r="B28" s="1325"/>
      <c r="C28" s="1325"/>
      <c r="D28" s="1325"/>
      <c r="E28" s="1326">
        <f>'TAR-Tab 10_incidenteel'!C31</f>
        <v>853094.78304745979</v>
      </c>
      <c r="F28" s="1325"/>
      <c r="H28" s="21"/>
      <c r="I28" s="21"/>
      <c r="J28" s="21"/>
      <c r="K28" s="21"/>
    </row>
    <row r="29" spans="1:17" s="101" customFormat="1" ht="13.5" thickTop="1">
      <c r="A29" s="70" t="s">
        <v>1067</v>
      </c>
      <c r="B29" s="785">
        <f>SUM(B17:B28)</f>
        <v>882110132.72608888</v>
      </c>
      <c r="C29" s="785">
        <f>SUM(C17:C28)</f>
        <v>33279764.274784379</v>
      </c>
      <c r="D29" s="785">
        <f>SUM(D17:D28)</f>
        <v>90177228.575450301</v>
      </c>
      <c r="E29" s="1341"/>
      <c r="F29" s="785">
        <f>SUM(F17:F28)</f>
        <v>85232519.660403922</v>
      </c>
      <c r="H29" s="21"/>
      <c r="I29" s="21"/>
      <c r="J29" s="21"/>
      <c r="K29" s="21"/>
    </row>
    <row r="30" spans="1:17" s="101" customFormat="1">
      <c r="H30" s="21"/>
      <c r="I30" s="21"/>
      <c r="J30" s="21"/>
      <c r="K30" s="21"/>
    </row>
    <row r="31" spans="1:17" s="70" customFormat="1" ht="27.75" customHeight="1">
      <c r="A31" s="810" t="s">
        <v>1078</v>
      </c>
      <c r="B31" s="755"/>
      <c r="C31" s="755"/>
      <c r="D31" s="755"/>
      <c r="E31" s="755"/>
      <c r="F31" s="755"/>
      <c r="H31" s="21"/>
      <c r="I31" s="21"/>
      <c r="J31" s="21"/>
      <c r="K31" s="21"/>
    </row>
    <row r="32" spans="1:17" s="70" customFormat="1">
      <c r="A32" s="141" t="s">
        <v>0</v>
      </c>
      <c r="B32" s="151">
        <v>323840516.34760731</v>
      </c>
      <c r="C32" s="786"/>
      <c r="D32" s="786"/>
      <c r="E32" s="786"/>
      <c r="F32" s="786"/>
      <c r="G32" s="944"/>
      <c r="H32" s="21"/>
      <c r="I32" s="21"/>
      <c r="J32" s="21"/>
      <c r="K32" s="21"/>
      <c r="L32" s="945"/>
      <c r="M32" s="945"/>
      <c r="N32" s="945"/>
      <c r="O32" s="945"/>
      <c r="P32" s="944"/>
      <c r="Q32" s="944"/>
    </row>
    <row r="33" spans="1:17" s="70" customFormat="1">
      <c r="A33" s="141" t="s">
        <v>1</v>
      </c>
      <c r="B33" s="151">
        <v>539312181.09486461</v>
      </c>
      <c r="C33" s="786"/>
      <c r="D33" s="786"/>
      <c r="E33" s="786"/>
      <c r="F33" s="786"/>
      <c r="H33" s="21"/>
      <c r="I33" s="21"/>
      <c r="J33" s="21"/>
      <c r="K33" s="21"/>
      <c r="L33" s="945"/>
      <c r="M33" s="945"/>
      <c r="N33" s="945"/>
      <c r="O33" s="945"/>
      <c r="Q33" s="944"/>
    </row>
    <row r="34" spans="1:17">
      <c r="A34" s="748" t="s">
        <v>101</v>
      </c>
      <c r="B34" s="1394">
        <v>12039242.16617989</v>
      </c>
      <c r="C34" s="663"/>
      <c r="D34" s="663"/>
      <c r="E34" s="663"/>
      <c r="F34" s="663"/>
      <c r="H34" s="21"/>
      <c r="I34" s="21"/>
      <c r="J34" s="21"/>
      <c r="K34" s="21"/>
    </row>
    <row r="35" spans="1:17">
      <c r="A35" s="748" t="s">
        <v>100</v>
      </c>
      <c r="B35" s="745">
        <f>'TAR_Tab 14_Overige tarieven'!D10*'TAR_Tab 14_Overige tarieven'!Z10</f>
        <v>452682.97531044041</v>
      </c>
      <c r="C35" s="663"/>
      <c r="D35" s="663"/>
      <c r="E35" s="663"/>
      <c r="F35" s="663"/>
      <c r="H35" s="21"/>
      <c r="I35" s="21"/>
      <c r="J35" s="21"/>
      <c r="K35" s="21"/>
    </row>
    <row r="36" spans="1:17">
      <c r="A36" s="748" t="s">
        <v>102</v>
      </c>
      <c r="B36" s="745">
        <f>'TAR_Tab 14_Overige tarieven'!D11*'TAR_Tab 14_Overige tarieven'!Z11</f>
        <v>9734.0478643185215</v>
      </c>
      <c r="C36" s="663"/>
      <c r="D36" s="663"/>
      <c r="E36" s="663"/>
      <c r="F36" s="663"/>
      <c r="H36" s="21"/>
      <c r="I36" s="21"/>
      <c r="J36" s="21"/>
      <c r="K36" s="21"/>
    </row>
    <row r="37" spans="1:17">
      <c r="A37" s="748" t="s">
        <v>549</v>
      </c>
      <c r="B37" s="745">
        <f>'TAR_Tab 14_Overige tarieven'!D12*'TAR_Tab 14_Overige tarieven'!Z12</f>
        <v>55776.094262545128</v>
      </c>
      <c r="C37" s="663"/>
      <c r="D37" s="663"/>
      <c r="E37" s="663"/>
      <c r="F37" s="663"/>
      <c r="H37" s="21"/>
      <c r="I37" s="21"/>
      <c r="J37" s="21"/>
      <c r="K37" s="21"/>
    </row>
    <row r="38" spans="1:17">
      <c r="A38" s="749" t="s">
        <v>717</v>
      </c>
      <c r="B38" s="538">
        <f>TAR_Tab_3_Tariefaanpassing!B6</f>
        <v>6400000</v>
      </c>
      <c r="C38" s="663"/>
      <c r="D38" s="663"/>
      <c r="E38" s="663"/>
      <c r="F38" s="663"/>
      <c r="H38" s="21"/>
      <c r="I38" s="21"/>
      <c r="J38" s="21"/>
      <c r="K38" s="21"/>
    </row>
    <row r="39" spans="1:17">
      <c r="A39" s="749" t="s">
        <v>718</v>
      </c>
      <c r="B39" s="538">
        <f>TAR_Tab_3_Tariefaanpassing!B7</f>
        <v>0</v>
      </c>
      <c r="C39" s="663"/>
      <c r="D39" s="663"/>
      <c r="E39" s="663"/>
      <c r="F39" s="663"/>
      <c r="H39" s="21"/>
      <c r="I39" s="21"/>
      <c r="J39" s="21"/>
      <c r="K39" s="21"/>
    </row>
    <row r="40" spans="1:17" ht="13.5" thickBot="1">
      <c r="A40" s="749" t="s">
        <v>719</v>
      </c>
      <c r="B40" s="889">
        <f>TAR_Tab_3_Tariefaanpassing!B8</f>
        <v>0</v>
      </c>
      <c r="C40" s="789"/>
      <c r="D40" s="789"/>
      <c r="E40" s="789"/>
      <c r="F40" s="789"/>
      <c r="H40" s="21"/>
      <c r="I40" s="21"/>
      <c r="J40" s="21"/>
      <c r="K40" s="21"/>
    </row>
    <row r="41" spans="1:17" ht="13.5" thickTop="1">
      <c r="A41" s="70" t="s">
        <v>917</v>
      </c>
      <c r="B41" s="785">
        <f>SUM(B32:B40)</f>
        <v>882110132.72608924</v>
      </c>
      <c r="C41" s="785">
        <f>'TAR_Tab 14_Overige tarieven'!D14*'TAR_Tab 14_Overige tarieven'!Z14</f>
        <v>33279764.274784382</v>
      </c>
      <c r="D41" s="785">
        <f>'TAR_Tab 14_Overige tarieven'!D16*'TAR_Tab 14_Overige tarieven'!Z16</f>
        <v>90177228.575450301</v>
      </c>
      <c r="E41" s="1341"/>
      <c r="F41" s="788">
        <f>'TAR_Tab 14_Overige tarieven'!D15*'TAR_Tab 14_Overige tarieven'!Z15</f>
        <v>85232519.660403907</v>
      </c>
      <c r="H41" s="21"/>
      <c r="I41" s="21"/>
      <c r="J41" s="21"/>
      <c r="K41" s="21"/>
    </row>
    <row r="42" spans="1:17">
      <c r="D42" s="1143"/>
      <c r="E42" s="21"/>
      <c r="F42" s="21"/>
      <c r="G42" s="1144"/>
      <c r="H42" s="21"/>
      <c r="I42" s="21"/>
      <c r="J42" s="21"/>
      <c r="K42" s="21"/>
    </row>
    <row r="43" spans="1:17" s="101" customFormat="1">
      <c r="A43" s="755" t="s">
        <v>690</v>
      </c>
      <c r="E43" s="393"/>
      <c r="H43" s="21"/>
      <c r="I43" s="21"/>
      <c r="J43" s="21"/>
      <c r="K43" s="21"/>
    </row>
    <row r="44" spans="1:17">
      <c r="A44" s="80" t="s">
        <v>1079</v>
      </c>
      <c r="B44" s="746">
        <f>B29-B41</f>
        <v>0</v>
      </c>
      <c r="C44" s="746">
        <f>C29-C41</f>
        <v>0</v>
      </c>
      <c r="D44" s="746">
        <f>D29-D41</f>
        <v>0</v>
      </c>
      <c r="E44" s="746">
        <f>E29-E41</f>
        <v>0</v>
      </c>
      <c r="F44" s="787">
        <f>F29-F41</f>
        <v>0</v>
      </c>
      <c r="H44" s="21"/>
      <c r="I44" s="21"/>
      <c r="J44" s="21"/>
      <c r="K44" s="21"/>
    </row>
    <row r="45" spans="1:17">
      <c r="A45" s="101"/>
      <c r="B45" s="80"/>
      <c r="H45" s="21"/>
      <c r="I45" s="21"/>
      <c r="J45" s="21"/>
      <c r="K45" s="21"/>
    </row>
    <row r="46" spans="1:17">
      <c r="A46" s="91" t="s">
        <v>948</v>
      </c>
      <c r="B46" s="890"/>
      <c r="C46" s="890"/>
      <c r="D46" s="890"/>
      <c r="E46" s="890"/>
      <c r="F46" s="890"/>
      <c r="H46" s="21"/>
      <c r="I46" s="21"/>
      <c r="J46" s="21"/>
      <c r="K46" s="21"/>
    </row>
    <row r="47" spans="1:17">
      <c r="B47" s="393"/>
      <c r="H47" s="21"/>
      <c r="I47" s="21"/>
      <c r="J47" s="21"/>
      <c r="K47" s="21"/>
    </row>
    <row r="48" spans="1:17" s="101" customFormat="1" ht="55.5" customHeight="1">
      <c r="A48" s="1415" t="s">
        <v>1127</v>
      </c>
      <c r="B48" s="1415"/>
      <c r="C48" s="1415"/>
      <c r="D48" s="1415"/>
      <c r="E48" s="1415"/>
      <c r="F48" s="1415"/>
      <c r="H48" s="21"/>
      <c r="I48" s="21"/>
      <c r="J48" s="21"/>
      <c r="K48" s="21"/>
    </row>
    <row r="49" spans="1:11" s="101" customFormat="1">
      <c r="B49" s="393"/>
      <c r="H49" s="21"/>
      <c r="I49" s="21"/>
      <c r="J49" s="21"/>
      <c r="K49" s="21"/>
    </row>
    <row r="50" spans="1:11">
      <c r="A50" s="62" t="s">
        <v>948</v>
      </c>
      <c r="B50" s="112"/>
      <c r="C50" s="112" t="s">
        <v>513</v>
      </c>
      <c r="D50" s="112"/>
      <c r="E50" s="112"/>
      <c r="F50" s="112"/>
      <c r="H50" s="21"/>
      <c r="I50" s="21"/>
      <c r="J50" s="21"/>
      <c r="K50" s="21"/>
    </row>
    <row r="51" spans="1:11">
      <c r="A51" s="102" t="s">
        <v>949</v>
      </c>
      <c r="B51" s="486">
        <f>B32+B33</f>
        <v>863152697.44247198</v>
      </c>
      <c r="C51" s="951"/>
      <c r="D51" s="951"/>
      <c r="E51" s="951"/>
      <c r="F51" s="951"/>
      <c r="H51" s="21"/>
      <c r="I51" s="21"/>
      <c r="J51" s="21"/>
      <c r="K51" s="21"/>
    </row>
    <row r="52" spans="1:11">
      <c r="A52" s="102" t="s">
        <v>950</v>
      </c>
      <c r="B52" s="947">
        <f>C41</f>
        <v>33279764.274784382</v>
      </c>
      <c r="C52" s="951"/>
      <c r="D52" s="951"/>
      <c r="E52" s="951"/>
      <c r="F52" s="951"/>
      <c r="H52" s="21"/>
      <c r="I52" s="21"/>
      <c r="J52" s="21"/>
      <c r="K52" s="21"/>
    </row>
    <row r="53" spans="1:11">
      <c r="A53" s="946" t="s">
        <v>951</v>
      </c>
      <c r="B53" s="953">
        <f>F41</f>
        <v>85232519.660403907</v>
      </c>
      <c r="C53" s="952"/>
      <c r="D53" s="952"/>
      <c r="E53" s="952"/>
      <c r="F53" s="952"/>
      <c r="G53" s="790"/>
      <c r="H53" s="21"/>
      <c r="I53" s="21"/>
      <c r="J53" s="21"/>
      <c r="K53" s="21"/>
    </row>
    <row r="54" spans="1:11">
      <c r="A54" s="102" t="s">
        <v>952</v>
      </c>
      <c r="B54" s="538">
        <f>'TAR_Tab 2_Volumina'!H4+'TAR_Tab 2_Volumina'!W4</f>
        <v>658639786.73023987</v>
      </c>
      <c r="C54" s="573"/>
      <c r="D54" s="573"/>
      <c r="E54" s="573"/>
      <c r="F54" s="573"/>
      <c r="G54" s="791"/>
      <c r="H54" s="21"/>
      <c r="I54" s="21"/>
      <c r="J54" s="21"/>
      <c r="K54" s="21"/>
    </row>
    <row r="55" spans="1:11" s="101" customFormat="1">
      <c r="A55" s="102" t="s">
        <v>954</v>
      </c>
      <c r="B55" s="954">
        <f>B51/B54</f>
        <v>1.3105079814985345</v>
      </c>
      <c r="C55" s="573"/>
      <c r="D55" s="573"/>
      <c r="E55" s="573"/>
      <c r="F55" s="573"/>
      <c r="G55" s="791"/>
      <c r="H55" s="21"/>
      <c r="I55" s="21"/>
      <c r="J55" s="21"/>
      <c r="K55" s="21"/>
    </row>
    <row r="56" spans="1:11" s="101" customFormat="1">
      <c r="A56" s="102" t="s">
        <v>955</v>
      </c>
      <c r="B56" s="954">
        <f>B52/B54</f>
        <v>5.0528019936358366E-2</v>
      </c>
      <c r="C56" s="573"/>
      <c r="D56" s="573"/>
      <c r="E56" s="573"/>
      <c r="F56" s="573"/>
      <c r="G56" s="791"/>
      <c r="H56" s="21"/>
      <c r="I56" s="21"/>
      <c r="J56" s="21"/>
      <c r="K56" s="21"/>
    </row>
    <row r="57" spans="1:11" s="101" customFormat="1">
      <c r="A57" s="102" t="s">
        <v>956</v>
      </c>
      <c r="B57" s="954">
        <f>B53/B54</f>
        <v>0.12940687972029957</v>
      </c>
      <c r="C57" s="573"/>
      <c r="D57" s="573"/>
      <c r="E57" s="573"/>
      <c r="F57" s="573"/>
      <c r="G57" s="791"/>
      <c r="H57" s="21"/>
      <c r="I57" s="21"/>
      <c r="J57" s="21"/>
      <c r="K57" s="21"/>
    </row>
    <row r="58" spans="1:11" s="101" customFormat="1">
      <c r="A58" s="102" t="s">
        <v>953</v>
      </c>
      <c r="B58" s="955">
        <f>SUM(B55:B57)</f>
        <v>1.4904428811551926</v>
      </c>
      <c r="C58" s="573"/>
      <c r="D58" s="573"/>
      <c r="E58" s="573"/>
      <c r="F58" s="573"/>
      <c r="G58" s="791"/>
      <c r="H58" s="21"/>
      <c r="I58" s="21"/>
      <c r="J58" s="21"/>
      <c r="K58" s="21"/>
    </row>
    <row r="59" spans="1:11">
      <c r="A59" s="102"/>
      <c r="B59" s="102"/>
      <c r="C59" s="112"/>
      <c r="D59" s="112"/>
      <c r="E59" s="112"/>
      <c r="F59" s="112"/>
      <c r="G59" s="575"/>
      <c r="H59" s="21"/>
      <c r="I59" s="21"/>
      <c r="J59" s="21"/>
      <c r="K59" s="21"/>
    </row>
    <row r="60" spans="1:11" s="101" customFormat="1">
      <c r="A60" s="1004" t="s">
        <v>1034</v>
      </c>
      <c r="B60" s="396"/>
      <c r="C60" s="1003"/>
      <c r="D60" s="1003"/>
      <c r="E60" s="1003"/>
      <c r="F60" s="1003"/>
      <c r="G60" s="575"/>
      <c r="H60" s="21"/>
      <c r="I60" s="21"/>
      <c r="J60" s="21"/>
      <c r="K60" s="21"/>
    </row>
    <row r="61" spans="1:11" s="101" customFormat="1">
      <c r="A61" s="102"/>
      <c r="B61" s="102"/>
      <c r="C61" s="112"/>
      <c r="D61" s="112"/>
      <c r="E61" s="112"/>
      <c r="F61" s="112"/>
      <c r="G61" s="575"/>
      <c r="H61" s="21"/>
      <c r="I61" s="21"/>
      <c r="J61" s="21"/>
      <c r="K61" s="21"/>
    </row>
    <row r="62" spans="1:11">
      <c r="A62" s="950" t="s">
        <v>957</v>
      </c>
      <c r="B62" s="956">
        <f>'TAR_Tab 14_Overige tarieven'!Z16</f>
        <v>0.32821992817218715</v>
      </c>
      <c r="C62" s="112"/>
      <c r="D62" s="112"/>
      <c r="E62" s="112"/>
      <c r="F62" s="112"/>
      <c r="G62" s="791"/>
    </row>
    <row r="63" spans="1:11">
      <c r="A63" s="102"/>
      <c r="B63" s="583"/>
      <c r="C63" s="112"/>
      <c r="D63" s="112"/>
      <c r="E63" s="112"/>
      <c r="F63" s="112"/>
      <c r="G63" s="791"/>
    </row>
    <row r="64" spans="1:11">
      <c r="A64" s="62" t="s">
        <v>958</v>
      </c>
      <c r="B64" s="583"/>
      <c r="C64" s="112"/>
      <c r="D64" s="112"/>
      <c r="E64" s="112"/>
      <c r="F64" s="112"/>
      <c r="G64" s="791"/>
    </row>
    <row r="65" spans="1:7">
      <c r="A65" s="102" t="s">
        <v>959</v>
      </c>
      <c r="B65" s="1342"/>
      <c r="C65" s="112"/>
      <c r="D65" s="112"/>
      <c r="E65" s="112"/>
      <c r="F65" s="112"/>
      <c r="G65" s="791"/>
    </row>
    <row r="66" spans="1:7">
      <c r="A66" s="102" t="s">
        <v>1033</v>
      </c>
      <c r="B66" s="287">
        <f>'TAR_Tab 2_Volumina'!AF26</f>
        <v>27562149.819688521</v>
      </c>
      <c r="C66" s="112"/>
      <c r="D66" s="879"/>
      <c r="E66" s="879"/>
      <c r="F66" s="112"/>
      <c r="G66" s="791"/>
    </row>
    <row r="67" spans="1:7">
      <c r="A67" s="102" t="s">
        <v>958</v>
      </c>
      <c r="B67" s="1343"/>
      <c r="C67" s="112"/>
      <c r="D67" s="792"/>
      <c r="E67" s="792"/>
      <c r="F67" s="792"/>
      <c r="G67" s="791"/>
    </row>
    <row r="68" spans="1:7">
      <c r="A68" s="795"/>
      <c r="B68" s="796"/>
      <c r="C68" s="575"/>
      <c r="D68" s="792"/>
      <c r="E68" s="794"/>
      <c r="F68" s="793"/>
      <c r="G68" s="791"/>
    </row>
    <row r="69" spans="1:7">
      <c r="A69" s="1079" t="s">
        <v>1030</v>
      </c>
      <c r="B69" s="796"/>
      <c r="C69" s="575"/>
      <c r="D69" s="792"/>
      <c r="E69" s="794"/>
      <c r="F69" s="793"/>
      <c r="G69" s="791"/>
    </row>
    <row r="70" spans="1:7">
      <c r="A70" s="795" t="s">
        <v>1031</v>
      </c>
      <c r="B70" s="1080">
        <f>B34</f>
        <v>12039242.16617989</v>
      </c>
      <c r="C70" s="112"/>
      <c r="D70" s="792"/>
      <c r="E70" s="794"/>
      <c r="F70" s="793"/>
      <c r="G70" s="791"/>
    </row>
    <row r="71" spans="1:7">
      <c r="A71" s="102" t="s">
        <v>1032</v>
      </c>
      <c r="B71" s="287">
        <f>'TAR_Tab 13_Connectiontarieven'!Z5</f>
        <v>109204494.01715602</v>
      </c>
      <c r="C71" s="791"/>
      <c r="D71" s="791"/>
      <c r="E71" s="112"/>
      <c r="F71" s="791"/>
      <c r="G71" s="791"/>
    </row>
    <row r="72" spans="1:7">
      <c r="A72" s="102" t="s">
        <v>1030</v>
      </c>
      <c r="B72" s="1081">
        <f>B70/B71</f>
        <v>0.11024493336591557</v>
      </c>
      <c r="C72" s="112"/>
      <c r="D72" s="112"/>
      <c r="E72" s="112"/>
      <c r="F72" s="62"/>
      <c r="G72" s="112"/>
    </row>
    <row r="73" spans="1:7">
      <c r="A73" s="62"/>
      <c r="B73" s="791"/>
      <c r="C73" s="791"/>
      <c r="D73" s="791"/>
      <c r="E73" s="791"/>
      <c r="F73" s="791"/>
      <c r="G73" s="791"/>
    </row>
    <row r="74" spans="1:7">
      <c r="A74" s="70"/>
      <c r="B74" s="70"/>
      <c r="C74" s="121"/>
      <c r="D74" s="324"/>
      <c r="E74" s="395"/>
      <c r="F74" s="395"/>
      <c r="G74" s="395"/>
    </row>
    <row r="75" spans="1:7">
      <c r="A75" s="70"/>
      <c r="B75" s="70"/>
      <c r="C75" s="80"/>
      <c r="D75" s="76"/>
      <c r="E75" s="395"/>
      <c r="F75" s="395"/>
      <c r="G75" s="395"/>
    </row>
    <row r="76" spans="1:7">
      <c r="D76" s="22"/>
      <c r="E76" s="22"/>
      <c r="F76" s="22"/>
      <c r="G76" s="22"/>
    </row>
    <row r="77" spans="1:7">
      <c r="D77" s="22"/>
      <c r="E77" s="22"/>
      <c r="F77" s="22"/>
      <c r="G77" s="22"/>
    </row>
    <row r="79" spans="1:7">
      <c r="A79" s="62"/>
      <c r="B79" s="36"/>
      <c r="C79" s="80"/>
      <c r="D79" s="80"/>
    </row>
    <row r="80" spans="1:7">
      <c r="A80" s="62"/>
      <c r="B80" s="112"/>
    </row>
    <row r="81" spans="1:2">
      <c r="A81" s="62"/>
      <c r="B81" s="112"/>
    </row>
    <row r="82" spans="1:2">
      <c r="A82" s="62"/>
      <c r="B82" s="112"/>
    </row>
    <row r="83" spans="1:2">
      <c r="A83" s="62"/>
      <c r="B83" s="112"/>
    </row>
    <row r="84" spans="1:2">
      <c r="A84" s="62"/>
      <c r="B84" s="112"/>
    </row>
  </sheetData>
  <mergeCells count="1">
    <mergeCell ref="A48:F48"/>
  </mergeCells>
  <phoneticPr fontId="21" type="noConversion"/>
  <pageMargins left="0.75" right="0.75" top="1" bottom="1" header="0.5" footer="0.5"/>
  <pageSetup paperSize="9" scale="36" orientation="portrait" r:id="rId1"/>
  <headerFooter alignWithMargins="0">
    <oddFooter>&amp;LEnergiekamer NMa&amp;R&amp;F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742"/>
  <sheetViews>
    <sheetView showGridLines="0" zoomScale="70" zoomScaleNormal="70" zoomScaleSheetLayoutView="70" workbookViewId="0"/>
  </sheetViews>
  <sheetFormatPr defaultRowHeight="12.75"/>
  <cols>
    <col min="1" max="1" width="17.85546875" style="93" customWidth="1"/>
    <col min="2" max="2" width="61.85546875" style="93" bestFit="1" customWidth="1"/>
    <col min="3" max="3" width="25.140625" style="201" bestFit="1" customWidth="1"/>
    <col min="4" max="4" width="14.42578125" style="187" bestFit="1" customWidth="1"/>
    <col min="5" max="5" width="23.140625" style="93" customWidth="1"/>
    <col min="6" max="6" width="22.85546875" style="93" customWidth="1"/>
    <col min="7" max="7" width="21.140625" style="93" customWidth="1"/>
    <col min="8" max="8" width="22.85546875" style="93" customWidth="1"/>
    <col min="9" max="9" width="19.7109375" style="93" customWidth="1"/>
    <col min="10" max="10" width="1.7109375" style="188" customWidth="1"/>
    <col min="11" max="12" width="18.7109375" style="200" customWidth="1"/>
    <col min="13" max="13" width="1.7109375" style="188" customWidth="1"/>
    <col min="14" max="14" width="18.7109375" style="200" customWidth="1"/>
    <col min="15" max="15" width="1.7109375" style="188" customWidth="1"/>
    <col min="16" max="16" width="9" style="93" bestFit="1" customWidth="1"/>
    <col min="17" max="17" width="66.28515625" style="93" bestFit="1" customWidth="1"/>
    <col min="18" max="18" width="22.85546875" style="201" bestFit="1" customWidth="1"/>
    <col min="19" max="19" width="13.42578125" style="93" bestFit="1" customWidth="1"/>
    <col min="20" max="20" width="20.140625" style="93" customWidth="1"/>
    <col min="21" max="21" width="18" style="99" customWidth="1"/>
    <col min="22" max="22" width="21.5703125" style="99" customWidth="1"/>
    <col min="23" max="23" width="21.5703125" style="99" bestFit="1" customWidth="1"/>
    <col min="24" max="24" width="21.5703125" style="99" customWidth="1"/>
    <col min="25" max="25" width="1.7109375" style="188" customWidth="1"/>
    <col min="26" max="26" width="16" style="200" bestFit="1" customWidth="1"/>
    <col min="27" max="27" width="15.42578125" style="200" customWidth="1"/>
    <col min="28" max="28" width="2" style="188" customWidth="1"/>
    <col min="29" max="29" width="29.7109375" style="93" customWidth="1"/>
    <col min="30" max="30" width="39.5703125" style="93" customWidth="1"/>
    <col min="31" max="31" width="23.140625" style="93" bestFit="1" customWidth="1"/>
    <col min="32" max="32" width="23.140625" style="93" customWidth="1"/>
    <col min="33" max="33" width="27.140625" style="93" customWidth="1"/>
    <col min="34" max="16384" width="9.140625" style="93"/>
  </cols>
  <sheetData>
    <row r="1" spans="1:34" ht="23.25" customHeight="1">
      <c r="A1" s="12" t="s">
        <v>138</v>
      </c>
      <c r="B1" s="91"/>
      <c r="C1" s="198"/>
      <c r="D1" s="91"/>
      <c r="E1" s="91"/>
      <c r="F1" s="91"/>
      <c r="G1" s="91"/>
      <c r="H1" s="91"/>
      <c r="I1" s="91"/>
      <c r="J1" s="91"/>
      <c r="K1" s="198"/>
      <c r="L1" s="198"/>
      <c r="M1" s="91"/>
      <c r="N1" s="198"/>
      <c r="O1" s="91"/>
      <c r="P1" s="91"/>
      <c r="Q1" s="91"/>
      <c r="R1" s="198"/>
      <c r="S1" s="91"/>
      <c r="T1" s="91"/>
      <c r="U1" s="1094"/>
      <c r="V1" s="91"/>
      <c r="W1" s="1094"/>
      <c r="X1" s="91"/>
      <c r="Y1" s="91"/>
      <c r="Z1" s="198"/>
      <c r="AA1" s="198"/>
      <c r="AB1" s="91"/>
      <c r="AC1" s="91"/>
      <c r="AD1" s="91"/>
      <c r="AE1" s="91"/>
      <c r="AF1" s="91"/>
      <c r="AG1" s="92"/>
    </row>
    <row r="2" spans="1:34" s="95" customFormat="1" ht="12.75" customHeight="1">
      <c r="A2" s="94"/>
      <c r="B2" s="94"/>
      <c r="C2" s="199"/>
      <c r="D2" s="94"/>
      <c r="E2" s="94"/>
      <c r="F2" s="94"/>
      <c r="G2" s="94"/>
      <c r="H2" s="94"/>
      <c r="I2" s="94"/>
      <c r="J2" s="94"/>
      <c r="K2" s="199"/>
      <c r="L2" s="199"/>
      <c r="M2" s="94"/>
      <c r="N2" s="199"/>
      <c r="O2" s="94"/>
      <c r="P2" s="94"/>
      <c r="Q2" s="94"/>
      <c r="R2" s="199"/>
      <c r="S2" s="94"/>
      <c r="T2" s="94"/>
      <c r="U2" s="94"/>
      <c r="V2" s="94"/>
      <c r="W2" s="94"/>
      <c r="X2" s="94"/>
      <c r="Y2" s="94"/>
      <c r="Z2" s="199"/>
      <c r="AA2" s="199"/>
      <c r="AB2" s="94"/>
      <c r="AC2" s="94"/>
      <c r="AD2" s="94"/>
      <c r="AE2" s="94"/>
      <c r="AF2" s="94"/>
      <c r="AG2" s="94"/>
    </row>
    <row r="3" spans="1:34" s="274" customFormat="1" ht="31.5">
      <c r="A3" s="270"/>
      <c r="B3" s="270"/>
      <c r="C3" s="270"/>
      <c r="D3" s="1419" t="s">
        <v>566</v>
      </c>
      <c r="E3" s="1419"/>
      <c r="F3" s="1419"/>
      <c r="G3" s="960"/>
      <c r="H3" s="399"/>
      <c r="I3" s="960"/>
      <c r="J3" s="272"/>
      <c r="K3" s="273" t="s">
        <v>843</v>
      </c>
      <c r="L3" s="273" t="s">
        <v>842</v>
      </c>
      <c r="M3" s="272"/>
      <c r="N3" s="273" t="s">
        <v>571</v>
      </c>
      <c r="O3" s="272"/>
      <c r="P3" s="1110"/>
      <c r="Q3" s="1110"/>
      <c r="R3" s="1419" t="s">
        <v>1222</v>
      </c>
      <c r="S3" s="1423"/>
      <c r="T3" s="1423"/>
      <c r="U3" s="1110"/>
      <c r="V3" s="1110"/>
      <c r="W3" s="1110"/>
      <c r="X3" s="1110"/>
      <c r="Y3" s="272"/>
      <c r="Z3" s="271" t="s">
        <v>575</v>
      </c>
      <c r="AA3" s="271" t="s">
        <v>578</v>
      </c>
      <c r="AB3" s="272"/>
      <c r="AC3" s="1419" t="s">
        <v>1038</v>
      </c>
      <c r="AD3" s="1419"/>
      <c r="AE3" s="1419"/>
      <c r="AF3" s="1419"/>
      <c r="AG3" s="1419"/>
    </row>
    <row r="4" spans="1:34" s="377" customFormat="1" ht="15.75">
      <c r="A4" s="1112" t="s">
        <v>1092</v>
      </c>
      <c r="B4" s="1111"/>
      <c r="C4" s="373"/>
      <c r="D4" s="374"/>
      <c r="H4" s="1292">
        <v>337956643.85998082</v>
      </c>
      <c r="I4" s="1106"/>
      <c r="J4" s="375"/>
      <c r="K4" s="1292">
        <v>43191557</v>
      </c>
      <c r="L4" s="1290"/>
      <c r="M4" s="375"/>
      <c r="N4" s="376"/>
      <c r="O4" s="375"/>
      <c r="P4" s="374"/>
      <c r="Q4" s="374"/>
      <c r="R4" s="374"/>
      <c r="S4" s="374"/>
      <c r="U4" s="1107"/>
      <c r="V4" s="1108"/>
      <c r="W4" s="1292">
        <v>320683142.87025899</v>
      </c>
      <c r="X4" s="1106"/>
      <c r="Y4" s="375"/>
      <c r="Z4" s="1292">
        <v>231554797</v>
      </c>
      <c r="AA4" s="374"/>
      <c r="AB4" s="375"/>
      <c r="AD4" s="374"/>
      <c r="AE4" s="374"/>
      <c r="AF4" s="374"/>
      <c r="AG4" s="374"/>
    </row>
    <row r="5" spans="1:34" s="377" customFormat="1" ht="15.75">
      <c r="A5" s="264" t="s">
        <v>1093</v>
      </c>
      <c r="B5" s="1111"/>
      <c r="C5" s="373"/>
      <c r="D5" s="374"/>
      <c r="H5" s="1095">
        <v>364682214.86940116</v>
      </c>
      <c r="I5" s="1106"/>
      <c r="J5" s="375"/>
      <c r="K5" s="97">
        <v>43289823.219950549</v>
      </c>
      <c r="L5" s="1291"/>
      <c r="M5" s="375"/>
      <c r="N5" s="376"/>
      <c r="O5" s="375"/>
      <c r="P5" s="374"/>
      <c r="Q5" s="374"/>
      <c r="R5" s="374"/>
      <c r="S5" s="374"/>
      <c r="U5" s="181"/>
      <c r="V5" s="208"/>
      <c r="W5" s="1095">
        <v>343048562.1342833</v>
      </c>
      <c r="X5" s="1106"/>
      <c r="Y5" s="375"/>
      <c r="Z5" s="97">
        <v>244638996.58832943</v>
      </c>
      <c r="AA5" s="374"/>
      <c r="AB5" s="375"/>
      <c r="AD5" s="374"/>
      <c r="AE5" s="374"/>
      <c r="AF5" s="374"/>
      <c r="AH5" s="374"/>
    </row>
    <row r="6" spans="1:34" s="377" customFormat="1" ht="15.75">
      <c r="A6" s="264" t="s">
        <v>1094</v>
      </c>
      <c r="B6" s="1111"/>
      <c r="C6" s="373"/>
      <c r="D6" s="374"/>
      <c r="H6" s="1109">
        <v>1953889.9999919997</v>
      </c>
      <c r="I6" s="1106"/>
      <c r="J6" s="375"/>
      <c r="K6" s="809"/>
      <c r="L6" s="374"/>
      <c r="M6" s="375"/>
      <c r="N6" s="376"/>
      <c r="O6" s="375"/>
      <c r="P6" s="374"/>
      <c r="Q6" s="374"/>
      <c r="R6" s="374"/>
      <c r="S6" s="374"/>
      <c r="U6" s="1101"/>
      <c r="V6" s="208"/>
      <c r="W6" s="1395">
        <v>166886.06914405356</v>
      </c>
      <c r="X6" s="1106"/>
      <c r="Y6" s="375"/>
      <c r="Z6" s="1290"/>
      <c r="AA6" s="374"/>
      <c r="AB6" s="375"/>
      <c r="AD6" s="374"/>
      <c r="AE6" s="374"/>
      <c r="AF6" s="374"/>
      <c r="AH6" s="374"/>
    </row>
    <row r="7" spans="1:34" s="377" customFormat="1" ht="15.75">
      <c r="A7" s="264" t="s">
        <v>974</v>
      </c>
      <c r="B7" s="1111"/>
      <c r="C7" s="373"/>
      <c r="D7" s="374"/>
      <c r="H7" s="1093">
        <f>(H4-H6)/H5</f>
        <v>0.92135766472822667</v>
      </c>
      <c r="I7" s="374"/>
      <c r="J7" s="375"/>
      <c r="K7" s="809"/>
      <c r="L7" s="374"/>
      <c r="M7" s="375"/>
      <c r="N7" s="376"/>
      <c r="O7" s="375"/>
      <c r="P7" s="374"/>
      <c r="Q7" s="374"/>
      <c r="R7" s="374"/>
      <c r="S7" s="374"/>
      <c r="U7" s="181"/>
      <c r="V7" s="208"/>
      <c r="W7" s="1093">
        <f>(W4-W6)/W5</f>
        <v>0.93431744708975539</v>
      </c>
      <c r="X7" s="374"/>
      <c r="Y7" s="375"/>
      <c r="Z7" s="374"/>
      <c r="AA7" s="374"/>
      <c r="AB7" s="375"/>
      <c r="AD7" s="374"/>
      <c r="AE7" s="374"/>
      <c r="AF7" s="374"/>
      <c r="AG7" s="374"/>
    </row>
    <row r="8" spans="1:34" s="126" customFormat="1" ht="57" customHeight="1">
      <c r="A8" s="127" t="s">
        <v>144</v>
      </c>
      <c r="B8" s="127" t="s">
        <v>145</v>
      </c>
      <c r="C8" s="127" t="s">
        <v>567</v>
      </c>
      <c r="D8" s="127" t="s">
        <v>969</v>
      </c>
      <c r="E8" s="127" t="s">
        <v>970</v>
      </c>
      <c r="F8" s="127" t="s">
        <v>973</v>
      </c>
      <c r="G8" s="127" t="s">
        <v>971</v>
      </c>
      <c r="H8" s="127" t="s">
        <v>972</v>
      </c>
      <c r="I8" s="127" t="s">
        <v>727</v>
      </c>
      <c r="J8" s="189"/>
      <c r="K8" s="127" t="s">
        <v>573</v>
      </c>
      <c r="L8" s="127" t="s">
        <v>576</v>
      </c>
      <c r="M8" s="189"/>
      <c r="N8" s="127" t="s">
        <v>574</v>
      </c>
      <c r="O8" s="189"/>
      <c r="P8" s="127" t="s">
        <v>144</v>
      </c>
      <c r="Q8" s="127" t="s">
        <v>145</v>
      </c>
      <c r="R8" s="127" t="s">
        <v>567</v>
      </c>
      <c r="S8" s="127" t="s">
        <v>969</v>
      </c>
      <c r="T8" s="127" t="s">
        <v>970</v>
      </c>
      <c r="U8" s="127" t="s">
        <v>973</v>
      </c>
      <c r="V8" s="127" t="s">
        <v>971</v>
      </c>
      <c r="W8" s="127" t="s">
        <v>972</v>
      </c>
      <c r="X8" s="127" t="s">
        <v>727</v>
      </c>
      <c r="Y8" s="189"/>
      <c r="Z8" s="127" t="s">
        <v>573</v>
      </c>
      <c r="AA8" s="127" t="s">
        <v>576</v>
      </c>
      <c r="AB8" s="189"/>
      <c r="AC8" s="1421" t="s">
        <v>931</v>
      </c>
      <c r="AD8" s="1421"/>
      <c r="AE8" s="1421"/>
      <c r="AF8" s="1421"/>
      <c r="AG8" s="1421"/>
      <c r="AH8" s="332"/>
    </row>
    <row r="9" spans="1:34" s="126" customFormat="1" ht="16.5" customHeight="1">
      <c r="A9" s="127"/>
      <c r="B9" s="127"/>
      <c r="C9" s="127"/>
      <c r="D9" s="127" t="s">
        <v>620</v>
      </c>
      <c r="E9" s="381" t="s">
        <v>624</v>
      </c>
      <c r="F9" s="381" t="s">
        <v>621</v>
      </c>
      <c r="G9" s="127" t="s">
        <v>621</v>
      </c>
      <c r="H9" s="127" t="s">
        <v>621</v>
      </c>
      <c r="I9" s="127" t="s">
        <v>621</v>
      </c>
      <c r="J9" s="988"/>
      <c r="K9" s="989" t="s">
        <v>572</v>
      </c>
      <c r="L9" s="989" t="s">
        <v>572</v>
      </c>
      <c r="M9" s="988"/>
      <c r="N9" s="989" t="s">
        <v>572</v>
      </c>
      <c r="O9" s="988"/>
      <c r="P9" s="127"/>
      <c r="Q9" s="127"/>
      <c r="R9" s="127"/>
      <c r="S9" s="127" t="s">
        <v>620</v>
      </c>
      <c r="T9" s="381" t="s">
        <v>624</v>
      </c>
      <c r="U9" s="381" t="s">
        <v>621</v>
      </c>
      <c r="V9" s="127" t="s">
        <v>621</v>
      </c>
      <c r="W9" s="127" t="s">
        <v>621</v>
      </c>
      <c r="X9" s="127" t="s">
        <v>621</v>
      </c>
      <c r="Y9" s="189"/>
      <c r="Z9" s="986" t="s">
        <v>572</v>
      </c>
      <c r="AA9" s="986" t="s">
        <v>572</v>
      </c>
      <c r="AB9" s="189"/>
      <c r="AC9" s="331"/>
      <c r="AD9" s="381" t="s">
        <v>969</v>
      </c>
      <c r="AE9" s="381" t="s">
        <v>970</v>
      </c>
      <c r="AF9" s="381" t="s">
        <v>727</v>
      </c>
      <c r="AG9" s="811"/>
      <c r="AH9" s="332"/>
    </row>
    <row r="10" spans="1:34">
      <c r="A10" s="781">
        <v>300001</v>
      </c>
      <c r="B10" s="777" t="s">
        <v>729</v>
      </c>
      <c r="C10" s="987" t="s">
        <v>1195</v>
      </c>
      <c r="D10" s="1362"/>
      <c r="E10" s="1298">
        <v>1.917</v>
      </c>
      <c r="F10" s="1361"/>
      <c r="G10" s="1373"/>
      <c r="H10" s="1396"/>
      <c r="I10" s="1396"/>
      <c r="K10" s="1293">
        <v>0</v>
      </c>
      <c r="L10" s="1294">
        <v>0</v>
      </c>
      <c r="N10" s="983">
        <f t="shared" ref="N10:N41" si="0">IF(C10="local distribution point",1,0)</f>
        <v>1</v>
      </c>
      <c r="P10" s="648">
        <v>300131</v>
      </c>
      <c r="Q10" s="777" t="s">
        <v>33</v>
      </c>
      <c r="R10" s="987" t="s">
        <v>568</v>
      </c>
      <c r="S10" s="1362"/>
      <c r="T10" s="1298">
        <v>1.0589999999999999</v>
      </c>
      <c r="U10" s="1377"/>
      <c r="V10" s="1377"/>
      <c r="W10" s="1377"/>
      <c r="X10" s="1377"/>
      <c r="Y10" s="190"/>
      <c r="Z10" s="1295">
        <v>0</v>
      </c>
      <c r="AA10" s="1296">
        <v>0</v>
      </c>
      <c r="AB10" s="191"/>
      <c r="AC10" s="56" t="s">
        <v>100</v>
      </c>
      <c r="AD10" s="654">
        <v>461330.70000000013</v>
      </c>
      <c r="AE10" s="1288">
        <v>0.19413051354476571</v>
      </c>
      <c r="AF10" s="465">
        <f>AD10/AE10</f>
        <v>2376394.5789677165</v>
      </c>
      <c r="AG10" s="773" t="s">
        <v>621</v>
      </c>
      <c r="AH10" s="333"/>
    </row>
    <row r="11" spans="1:34">
      <c r="A11" s="96">
        <v>300002</v>
      </c>
      <c r="B11" s="1286" t="s">
        <v>730</v>
      </c>
      <c r="C11" s="645" t="s">
        <v>1195</v>
      </c>
      <c r="D11" s="1375"/>
      <c r="E11" s="1299">
        <v>2.0129999999999999</v>
      </c>
      <c r="F11" s="1398"/>
      <c r="G11" s="1397"/>
      <c r="H11" s="1396"/>
      <c r="I11" s="1372"/>
      <c r="K11" s="1293">
        <v>0</v>
      </c>
      <c r="L11" s="1294">
        <v>0</v>
      </c>
      <c r="N11" s="983">
        <f t="shared" si="0"/>
        <v>1</v>
      </c>
      <c r="P11" s="644">
        <v>300132</v>
      </c>
      <c r="Q11" s="1286" t="s">
        <v>749</v>
      </c>
      <c r="R11" s="645" t="s">
        <v>568</v>
      </c>
      <c r="S11" s="1375"/>
      <c r="T11" s="1299">
        <v>1.468</v>
      </c>
      <c r="U11" s="1363"/>
      <c r="V11" s="1363"/>
      <c r="W11" s="1363"/>
      <c r="X11" s="1363"/>
      <c r="Z11" s="1295">
        <v>0</v>
      </c>
      <c r="AA11" s="1296">
        <v>0</v>
      </c>
      <c r="AC11" s="56" t="s">
        <v>102</v>
      </c>
      <c r="AD11" s="654">
        <v>9920</v>
      </c>
      <c r="AE11" s="1289">
        <v>99.20155486052542</v>
      </c>
      <c r="AF11" s="465">
        <f>IF(AE11=0,0,AD11/AE11)</f>
        <v>99.998432624843829</v>
      </c>
      <c r="AG11" s="773" t="s">
        <v>929</v>
      </c>
      <c r="AH11" s="333"/>
    </row>
    <row r="12" spans="1:34">
      <c r="A12" s="96">
        <v>300003</v>
      </c>
      <c r="B12" s="1286" t="s">
        <v>731</v>
      </c>
      <c r="C12" s="645" t="s">
        <v>1196</v>
      </c>
      <c r="D12" s="1375"/>
      <c r="E12" s="1299">
        <v>2.2050000000000001</v>
      </c>
      <c r="F12" s="1398"/>
      <c r="G12" s="1397"/>
      <c r="H12" s="1396"/>
      <c r="I12" s="1372"/>
      <c r="K12" s="1293">
        <v>1</v>
      </c>
      <c r="L12" s="1294">
        <v>0</v>
      </c>
      <c r="N12" s="983">
        <f t="shared" si="0"/>
        <v>0</v>
      </c>
      <c r="P12" s="644">
        <v>300133</v>
      </c>
      <c r="Q12" s="1286" t="s">
        <v>750</v>
      </c>
      <c r="R12" s="645" t="s">
        <v>568</v>
      </c>
      <c r="S12" s="1375"/>
      <c r="T12" s="1299">
        <v>1.468</v>
      </c>
      <c r="U12" s="1363"/>
      <c r="V12" s="1363"/>
      <c r="W12" s="1363"/>
      <c r="X12" s="1363"/>
      <c r="Z12" s="1295">
        <v>0</v>
      </c>
      <c r="AA12" s="1296">
        <v>0</v>
      </c>
      <c r="AC12" s="147" t="s">
        <v>549</v>
      </c>
      <c r="AD12" s="654">
        <v>56841.599999999999</v>
      </c>
      <c r="AE12" s="1289">
        <v>99.20155486052542</v>
      </c>
      <c r="AF12" s="465">
        <f>IF(AE12=0,0,AD12/AE12)</f>
        <v>572.99101894035516</v>
      </c>
      <c r="AG12" s="773" t="s">
        <v>929</v>
      </c>
      <c r="AH12" s="333"/>
    </row>
    <row r="13" spans="1:34">
      <c r="A13" s="96">
        <v>300005</v>
      </c>
      <c r="B13" s="1286" t="s">
        <v>732</v>
      </c>
      <c r="C13" s="645" t="s">
        <v>1195</v>
      </c>
      <c r="D13" s="1375"/>
      <c r="E13" s="1299">
        <v>3.1629999999999998</v>
      </c>
      <c r="F13" s="1398"/>
      <c r="G13" s="1397"/>
      <c r="H13" s="1396"/>
      <c r="I13" s="1372"/>
      <c r="K13" s="1293">
        <v>0</v>
      </c>
      <c r="L13" s="1294">
        <v>0</v>
      </c>
      <c r="N13" s="983">
        <f t="shared" si="0"/>
        <v>1</v>
      </c>
      <c r="P13" s="644">
        <v>300136</v>
      </c>
      <c r="Q13" s="1286" t="s">
        <v>656</v>
      </c>
      <c r="R13" s="645" t="s">
        <v>568</v>
      </c>
      <c r="S13" s="1375"/>
      <c r="T13" s="1299">
        <v>1.2150000000000001</v>
      </c>
      <c r="U13" s="1363"/>
      <c r="V13" s="1363"/>
      <c r="W13" s="1363"/>
      <c r="X13" s="1363"/>
      <c r="Z13" s="1295">
        <v>0</v>
      </c>
      <c r="AA13" s="1296">
        <v>0</v>
      </c>
      <c r="AC13" s="938"/>
    </row>
    <row r="14" spans="1:34">
      <c r="A14" s="96">
        <v>300009</v>
      </c>
      <c r="B14" s="1286" t="s">
        <v>733</v>
      </c>
      <c r="C14" s="645" t="s">
        <v>1195</v>
      </c>
      <c r="D14" s="1375"/>
      <c r="E14" s="1299">
        <v>2.2480000000000002</v>
      </c>
      <c r="F14" s="1398"/>
      <c r="G14" s="1397"/>
      <c r="H14" s="1396"/>
      <c r="I14" s="1372"/>
      <c r="K14" s="1293">
        <v>0</v>
      </c>
      <c r="L14" s="1294">
        <v>0</v>
      </c>
      <c r="N14" s="983">
        <f t="shared" si="0"/>
        <v>1</v>
      </c>
      <c r="P14" s="644">
        <v>300138</v>
      </c>
      <c r="Q14" s="1286" t="s">
        <v>751</v>
      </c>
      <c r="R14" s="645" t="s">
        <v>568</v>
      </c>
      <c r="S14" s="1375"/>
      <c r="T14" s="1299"/>
      <c r="U14" s="1363"/>
      <c r="V14" s="1363"/>
      <c r="W14" s="1363"/>
      <c r="X14" s="1363"/>
      <c r="Z14" s="1295">
        <v>0</v>
      </c>
      <c r="AA14" s="1296">
        <v>0</v>
      </c>
      <c r="AC14" s="1422" t="s">
        <v>975</v>
      </c>
      <c r="AD14" s="1422"/>
      <c r="AE14" s="1422"/>
      <c r="AF14" s="1422"/>
      <c r="AG14" s="1422"/>
      <c r="AH14" s="333"/>
    </row>
    <row r="15" spans="1:34">
      <c r="A15" s="96">
        <v>300011</v>
      </c>
      <c r="B15" s="1286" t="s">
        <v>734</v>
      </c>
      <c r="C15" s="645" t="s">
        <v>1195</v>
      </c>
      <c r="D15" s="1375"/>
      <c r="E15" s="1299">
        <v>2.5</v>
      </c>
      <c r="F15" s="1398"/>
      <c r="G15" s="1397"/>
      <c r="H15" s="1396"/>
      <c r="I15" s="1372"/>
      <c r="K15" s="1293">
        <v>0</v>
      </c>
      <c r="L15" s="1294">
        <v>0</v>
      </c>
      <c r="N15" s="983">
        <f t="shared" si="0"/>
        <v>1</v>
      </c>
      <c r="P15" s="644">
        <v>300139</v>
      </c>
      <c r="Q15" s="1286" t="s">
        <v>752</v>
      </c>
      <c r="R15" s="645" t="s">
        <v>568</v>
      </c>
      <c r="S15" s="1375"/>
      <c r="T15" s="1299">
        <v>1.0589999999999999</v>
      </c>
      <c r="U15" s="1363"/>
      <c r="V15" s="1363"/>
      <c r="W15" s="1363"/>
      <c r="X15" s="1363"/>
      <c r="Z15" s="1295">
        <v>0</v>
      </c>
      <c r="AA15" s="1296">
        <v>0</v>
      </c>
      <c r="AC15" s="862"/>
      <c r="AD15" s="862"/>
      <c r="AE15" s="862"/>
      <c r="AF15" s="381" t="s">
        <v>727</v>
      </c>
      <c r="AG15" s="862"/>
      <c r="AH15" s="333"/>
    </row>
    <row r="16" spans="1:34">
      <c r="A16" s="96">
        <v>300012</v>
      </c>
      <c r="B16" s="1286" t="s">
        <v>735</v>
      </c>
      <c r="C16" s="645" t="s">
        <v>1195</v>
      </c>
      <c r="D16" s="1375"/>
      <c r="E16" s="1299">
        <v>2.6930000000000001</v>
      </c>
      <c r="F16" s="1398"/>
      <c r="G16" s="1397"/>
      <c r="H16" s="1396"/>
      <c r="I16" s="1372"/>
      <c r="K16" s="1293">
        <v>0</v>
      </c>
      <c r="L16" s="1294">
        <v>0</v>
      </c>
      <c r="N16" s="983">
        <f t="shared" si="0"/>
        <v>1</v>
      </c>
      <c r="P16" s="644">
        <v>300142</v>
      </c>
      <c r="Q16" s="1286" t="s">
        <v>34</v>
      </c>
      <c r="R16" s="645" t="s">
        <v>568</v>
      </c>
      <c r="S16" s="1375"/>
      <c r="T16" s="1299">
        <v>1.897</v>
      </c>
      <c r="U16" s="1363"/>
      <c r="V16" s="1363"/>
      <c r="W16" s="1363"/>
      <c r="X16" s="1363"/>
      <c r="Z16" s="1295">
        <v>0</v>
      </c>
      <c r="AA16" s="1296">
        <v>0</v>
      </c>
      <c r="AC16" s="147" t="s">
        <v>515</v>
      </c>
      <c r="AD16" s="864"/>
      <c r="AE16" s="864"/>
      <c r="AF16" s="382">
        <f>H4+W4</f>
        <v>658639786.73023987</v>
      </c>
      <c r="AG16" s="773" t="s">
        <v>621</v>
      </c>
      <c r="AH16" s="333"/>
    </row>
    <row r="17" spans="1:36">
      <c r="A17" s="96">
        <v>300016</v>
      </c>
      <c r="B17" s="1286" t="s">
        <v>50</v>
      </c>
      <c r="C17" s="645" t="s">
        <v>1196</v>
      </c>
      <c r="D17" s="1375"/>
      <c r="E17" s="1299">
        <v>2</v>
      </c>
      <c r="F17" s="1398"/>
      <c r="G17" s="1397"/>
      <c r="H17" s="1396"/>
      <c r="I17" s="1372"/>
      <c r="K17" s="1293">
        <v>1</v>
      </c>
      <c r="L17" s="1294">
        <v>0</v>
      </c>
      <c r="N17" s="983">
        <f t="shared" si="0"/>
        <v>0</v>
      </c>
      <c r="P17" s="644">
        <v>300143</v>
      </c>
      <c r="Q17" s="1286" t="s">
        <v>35</v>
      </c>
      <c r="R17" s="645" t="s">
        <v>568</v>
      </c>
      <c r="S17" s="1375"/>
      <c r="T17" s="1299">
        <v>1.0589999999999999</v>
      </c>
      <c r="U17" s="1363"/>
      <c r="V17" s="1363"/>
      <c r="W17" s="1363"/>
      <c r="X17" s="1363"/>
      <c r="Z17" s="1295">
        <v>0</v>
      </c>
      <c r="AA17" s="1296">
        <v>0</v>
      </c>
      <c r="AC17" s="147" t="s">
        <v>247</v>
      </c>
      <c r="AD17" s="864"/>
      <c r="AE17" s="864"/>
      <c r="AF17" s="382">
        <f>H4+W4</f>
        <v>658639786.73023987</v>
      </c>
      <c r="AG17" s="773" t="s">
        <v>621</v>
      </c>
      <c r="AH17" s="333"/>
    </row>
    <row r="18" spans="1:36">
      <c r="A18" s="96">
        <v>300024</v>
      </c>
      <c r="B18" s="1286" t="s">
        <v>736</v>
      </c>
      <c r="C18" s="645" t="s">
        <v>1195</v>
      </c>
      <c r="D18" s="1375"/>
      <c r="E18" s="1299">
        <v>2.0129999999999999</v>
      </c>
      <c r="F18" s="1398"/>
      <c r="G18" s="1397"/>
      <c r="H18" s="1396"/>
      <c r="I18" s="1372"/>
      <c r="K18" s="1293">
        <v>0</v>
      </c>
      <c r="L18" s="1294">
        <v>0</v>
      </c>
      <c r="N18" s="983">
        <f t="shared" si="0"/>
        <v>1</v>
      </c>
      <c r="P18" s="644">
        <v>300144</v>
      </c>
      <c r="Q18" s="1286" t="s">
        <v>263</v>
      </c>
      <c r="R18" s="645" t="s">
        <v>568</v>
      </c>
      <c r="S18" s="1375"/>
      <c r="T18" s="1299">
        <v>1.1319999999999999</v>
      </c>
      <c r="U18" s="1363"/>
      <c r="V18" s="1363"/>
      <c r="W18" s="1363"/>
      <c r="X18" s="1363"/>
      <c r="Z18" s="1295">
        <v>0</v>
      </c>
      <c r="AA18" s="1296">
        <v>0</v>
      </c>
      <c r="AC18" s="147" t="s">
        <v>564</v>
      </c>
      <c r="AD18" s="864"/>
      <c r="AE18" s="864"/>
      <c r="AF18" s="466">
        <f>K4+Z4</f>
        <v>274746354</v>
      </c>
      <c r="AG18" s="773" t="s">
        <v>621</v>
      </c>
      <c r="AH18" s="333"/>
      <c r="AI18" s="93" t="s">
        <v>513</v>
      </c>
    </row>
    <row r="19" spans="1:36">
      <c r="A19" s="96">
        <v>300025</v>
      </c>
      <c r="B19" s="1286" t="s">
        <v>737</v>
      </c>
      <c r="C19" s="645" t="s">
        <v>1195</v>
      </c>
      <c r="D19" s="1375"/>
      <c r="E19" s="1299">
        <v>1.917</v>
      </c>
      <c r="F19" s="1398"/>
      <c r="G19" s="1397"/>
      <c r="H19" s="1396"/>
      <c r="I19" s="1372"/>
      <c r="K19" s="1293">
        <v>0</v>
      </c>
      <c r="L19" s="1294">
        <v>0</v>
      </c>
      <c r="N19" s="983">
        <f t="shared" si="0"/>
        <v>1</v>
      </c>
      <c r="P19" s="644">
        <v>300145</v>
      </c>
      <c r="Q19" s="1286" t="s">
        <v>754</v>
      </c>
      <c r="R19" s="645" t="s">
        <v>568</v>
      </c>
      <c r="S19" s="1375"/>
      <c r="T19" s="1299">
        <v>0.96899999999999997</v>
      </c>
      <c r="U19" s="1363"/>
      <c r="V19" s="1363"/>
      <c r="W19" s="1363"/>
      <c r="X19" s="1363"/>
      <c r="Z19" s="1295">
        <v>0</v>
      </c>
      <c r="AA19" s="1296">
        <v>0</v>
      </c>
      <c r="AC19" s="535"/>
      <c r="AD19" s="536"/>
      <c r="AE19" s="536"/>
      <c r="AF19" s="863"/>
      <c r="AG19" s="863"/>
      <c r="AH19" s="333"/>
    </row>
    <row r="20" spans="1:36">
      <c r="A20" s="96">
        <v>300027</v>
      </c>
      <c r="B20" s="1286" t="s">
        <v>259</v>
      </c>
      <c r="C20" s="645" t="s">
        <v>1195</v>
      </c>
      <c r="D20" s="1375"/>
      <c r="E20" s="1299">
        <v>1.917</v>
      </c>
      <c r="F20" s="1398"/>
      <c r="G20" s="1397"/>
      <c r="H20" s="1396"/>
      <c r="I20" s="1372"/>
      <c r="K20" s="1293">
        <v>0</v>
      </c>
      <c r="L20" s="1294">
        <v>0</v>
      </c>
      <c r="N20" s="983">
        <f t="shared" si="0"/>
        <v>1</v>
      </c>
      <c r="P20" s="644">
        <v>300146</v>
      </c>
      <c r="Q20" s="1286" t="s">
        <v>264</v>
      </c>
      <c r="R20" s="645" t="s">
        <v>568</v>
      </c>
      <c r="S20" s="1375"/>
      <c r="T20" s="1299">
        <v>0.96899999999999997</v>
      </c>
      <c r="U20" s="1363"/>
      <c r="V20" s="1363"/>
      <c r="W20" s="1363"/>
      <c r="X20" s="1363"/>
      <c r="Z20" s="1295">
        <v>0</v>
      </c>
      <c r="AA20" s="1296">
        <v>0</v>
      </c>
      <c r="AC20" s="1142" t="s">
        <v>932</v>
      </c>
      <c r="AD20" s="1142"/>
      <c r="AE20" s="1142"/>
      <c r="AF20" s="1142"/>
      <c r="AG20" s="1142"/>
      <c r="AH20" s="333"/>
    </row>
    <row r="21" spans="1:36">
      <c r="A21" s="96">
        <v>300031</v>
      </c>
      <c r="B21" s="1286" t="s">
        <v>738</v>
      </c>
      <c r="C21" s="645" t="s">
        <v>1195</v>
      </c>
      <c r="D21" s="1375"/>
      <c r="E21" s="1299">
        <v>2.2149999999999999</v>
      </c>
      <c r="F21" s="1398"/>
      <c r="G21" s="1397"/>
      <c r="H21" s="1396"/>
      <c r="I21" s="1372"/>
      <c r="K21" s="1293">
        <v>0</v>
      </c>
      <c r="L21" s="1294">
        <v>0</v>
      </c>
      <c r="N21" s="983">
        <f t="shared" si="0"/>
        <v>1</v>
      </c>
      <c r="P21" s="644">
        <v>300147</v>
      </c>
      <c r="Q21" s="1286" t="s">
        <v>755</v>
      </c>
      <c r="R21" s="645" t="s">
        <v>568</v>
      </c>
      <c r="S21" s="1375"/>
      <c r="T21" s="1299">
        <v>0.96899999999999997</v>
      </c>
      <c r="U21" s="1363"/>
      <c r="V21" s="1363"/>
      <c r="W21" s="1363"/>
      <c r="X21" s="1363"/>
      <c r="Z21" s="1295">
        <v>0</v>
      </c>
      <c r="AA21" s="1296">
        <v>0</v>
      </c>
      <c r="AC21" s="1102" t="s">
        <v>144</v>
      </c>
      <c r="AD21" s="1102" t="s">
        <v>145</v>
      </c>
      <c r="AE21" s="1102" t="s">
        <v>1124</v>
      </c>
      <c r="AF21" s="1102" t="s">
        <v>727</v>
      </c>
      <c r="AG21" s="1141"/>
      <c r="AH21" s="194"/>
      <c r="AI21" s="195"/>
    </row>
    <row r="22" spans="1:36">
      <c r="A22" s="96">
        <v>300032</v>
      </c>
      <c r="B22" s="1286" t="s">
        <v>51</v>
      </c>
      <c r="C22" s="645" t="s">
        <v>1195</v>
      </c>
      <c r="D22" s="1375"/>
      <c r="E22" s="1299">
        <v>2.262</v>
      </c>
      <c r="F22" s="1398"/>
      <c r="G22" s="1397"/>
      <c r="H22" s="1396"/>
      <c r="I22" s="1372"/>
      <c r="K22" s="1293">
        <v>0</v>
      </c>
      <c r="L22" s="1294">
        <v>0</v>
      </c>
      <c r="N22" s="983">
        <f t="shared" si="0"/>
        <v>1</v>
      </c>
      <c r="P22" s="644">
        <v>301068</v>
      </c>
      <c r="Q22" s="1286" t="s">
        <v>844</v>
      </c>
      <c r="R22" s="645" t="s">
        <v>570</v>
      </c>
      <c r="S22" s="1375"/>
      <c r="T22" s="1299">
        <v>1.784</v>
      </c>
      <c r="U22" s="1363"/>
      <c r="V22" s="1363"/>
      <c r="W22" s="1363"/>
      <c r="X22" s="1363"/>
      <c r="Z22" s="1295">
        <v>1</v>
      </c>
      <c r="AA22" s="1296">
        <v>0</v>
      </c>
      <c r="AC22" s="650">
        <v>301454</v>
      </c>
      <c r="AD22" s="939" t="s">
        <v>646</v>
      </c>
      <c r="AE22" s="1300" t="s">
        <v>0</v>
      </c>
      <c r="AF22" s="1378"/>
      <c r="AG22" s="773" t="s">
        <v>621</v>
      </c>
      <c r="AH22" s="197"/>
      <c r="AI22" s="196"/>
      <c r="AJ22" s="193"/>
    </row>
    <row r="23" spans="1:36">
      <c r="A23" s="96">
        <v>300034</v>
      </c>
      <c r="B23" s="1286" t="s">
        <v>739</v>
      </c>
      <c r="C23" s="645" t="s">
        <v>1195</v>
      </c>
      <c r="D23" s="1375"/>
      <c r="E23" s="1299">
        <v>1.917</v>
      </c>
      <c r="F23" s="1398"/>
      <c r="G23" s="1397"/>
      <c r="H23" s="1396"/>
      <c r="I23" s="1372"/>
      <c r="K23" s="1293">
        <v>0</v>
      </c>
      <c r="L23" s="1294">
        <v>0</v>
      </c>
      <c r="N23" s="983">
        <f t="shared" si="0"/>
        <v>1</v>
      </c>
      <c r="P23" s="644">
        <v>301069</v>
      </c>
      <c r="Q23" s="1286" t="s">
        <v>103</v>
      </c>
      <c r="R23" s="645" t="s">
        <v>570</v>
      </c>
      <c r="S23" s="1375"/>
      <c r="T23" s="1299">
        <v>1.173</v>
      </c>
      <c r="U23" s="1363"/>
      <c r="V23" s="1363"/>
      <c r="W23" s="1363"/>
      <c r="X23" s="1363"/>
      <c r="Z23" s="1295">
        <v>1</v>
      </c>
      <c r="AA23" s="1296">
        <v>0</v>
      </c>
      <c r="AC23" s="644">
        <v>301468</v>
      </c>
      <c r="AD23" s="98" t="s">
        <v>848</v>
      </c>
      <c r="AE23" s="1301" t="s">
        <v>0</v>
      </c>
      <c r="AF23" s="1378"/>
      <c r="AG23" s="773" t="s">
        <v>621</v>
      </c>
      <c r="AH23" s="197"/>
      <c r="AI23" s="195"/>
    </row>
    <row r="24" spans="1:36">
      <c r="A24" s="96">
        <v>300035</v>
      </c>
      <c r="B24" s="1286" t="s">
        <v>740</v>
      </c>
      <c r="C24" s="645" t="s">
        <v>1195</v>
      </c>
      <c r="D24" s="1375"/>
      <c r="E24" s="1299">
        <v>2.254</v>
      </c>
      <c r="F24" s="1398"/>
      <c r="G24" s="1397"/>
      <c r="H24" s="1396"/>
      <c r="I24" s="1372"/>
      <c r="K24" s="1293">
        <v>0</v>
      </c>
      <c r="L24" s="1294">
        <v>0</v>
      </c>
      <c r="N24" s="983">
        <f t="shared" si="0"/>
        <v>1</v>
      </c>
      <c r="P24" s="644">
        <v>301070</v>
      </c>
      <c r="Q24" s="1286" t="s">
        <v>104</v>
      </c>
      <c r="R24" s="645" t="s">
        <v>570</v>
      </c>
      <c r="S24" s="1375"/>
      <c r="T24" s="1299">
        <v>1.06</v>
      </c>
      <c r="U24" s="1363"/>
      <c r="V24" s="1363"/>
      <c r="W24" s="1363"/>
      <c r="X24" s="1363"/>
      <c r="Z24" s="1295">
        <v>1</v>
      </c>
      <c r="AA24" s="1296">
        <v>0</v>
      </c>
      <c r="AC24" s="644">
        <v>301348</v>
      </c>
      <c r="AD24" s="98" t="s">
        <v>19</v>
      </c>
      <c r="AE24" s="1301" t="s">
        <v>0</v>
      </c>
      <c r="AF24" s="1378"/>
      <c r="AG24" s="773" t="s">
        <v>621</v>
      </c>
      <c r="AH24" s="197"/>
      <c r="AI24" s="195"/>
    </row>
    <row r="25" spans="1:36" ht="13.5" thickBot="1">
      <c r="A25" s="96">
        <v>300039</v>
      </c>
      <c r="B25" s="1286" t="s">
        <v>741</v>
      </c>
      <c r="C25" s="645" t="s">
        <v>1195</v>
      </c>
      <c r="D25" s="1375"/>
      <c r="E25" s="1299">
        <v>2.2149999999999999</v>
      </c>
      <c r="F25" s="1398"/>
      <c r="G25" s="1397"/>
      <c r="H25" s="1396"/>
      <c r="I25" s="1372"/>
      <c r="K25" s="1293">
        <v>0</v>
      </c>
      <c r="L25" s="1294">
        <v>0</v>
      </c>
      <c r="N25" s="983">
        <f t="shared" si="0"/>
        <v>1</v>
      </c>
      <c r="P25" s="644">
        <v>301071</v>
      </c>
      <c r="Q25" s="1286" t="s">
        <v>36</v>
      </c>
      <c r="R25" s="645" t="s">
        <v>570</v>
      </c>
      <c r="S25" s="1375"/>
      <c r="T25" s="1299">
        <v>1.734</v>
      </c>
      <c r="U25" s="1363"/>
      <c r="V25" s="1363"/>
      <c r="W25" s="1363"/>
      <c r="X25" s="1363"/>
      <c r="Z25" s="1295">
        <v>1</v>
      </c>
      <c r="AA25" s="1296">
        <v>0</v>
      </c>
      <c r="AC25" s="644">
        <v>301391</v>
      </c>
      <c r="AD25" s="98" t="s">
        <v>658</v>
      </c>
      <c r="AE25" s="1301" t="s">
        <v>0</v>
      </c>
      <c r="AF25" s="1364"/>
      <c r="AG25" s="773" t="s">
        <v>621</v>
      </c>
      <c r="AH25" s="197"/>
      <c r="AI25" s="195"/>
    </row>
    <row r="26" spans="1:36" ht="13.5" thickTop="1">
      <c r="A26" s="96">
        <v>300042</v>
      </c>
      <c r="B26" s="1286" t="s">
        <v>260</v>
      </c>
      <c r="C26" s="645" t="s">
        <v>1195</v>
      </c>
      <c r="D26" s="1375"/>
      <c r="E26" s="1299">
        <v>3.1629999999999998</v>
      </c>
      <c r="F26" s="1398"/>
      <c r="G26" s="1397"/>
      <c r="H26" s="1396"/>
      <c r="I26" s="1372"/>
      <c r="K26" s="1293">
        <v>0</v>
      </c>
      <c r="L26" s="1294">
        <v>0</v>
      </c>
      <c r="N26" s="983">
        <f t="shared" si="0"/>
        <v>1</v>
      </c>
      <c r="P26" s="644">
        <v>301072</v>
      </c>
      <c r="Q26" s="1286" t="s">
        <v>37</v>
      </c>
      <c r="R26" s="645" t="s">
        <v>570</v>
      </c>
      <c r="S26" s="1375"/>
      <c r="T26" s="1299">
        <v>1.482</v>
      </c>
      <c r="U26" s="1363"/>
      <c r="V26" s="1363"/>
      <c r="W26" s="1363"/>
      <c r="X26" s="1363"/>
      <c r="Z26" s="1295">
        <v>1</v>
      </c>
      <c r="AA26" s="1296">
        <v>0</v>
      </c>
      <c r="AF26" s="281">
        <v>27562149.819688521</v>
      </c>
      <c r="AG26" s="773" t="s">
        <v>621</v>
      </c>
      <c r="AH26" s="197"/>
      <c r="AI26" s="195"/>
    </row>
    <row r="27" spans="1:36">
      <c r="A27" s="96">
        <v>300043</v>
      </c>
      <c r="B27" s="1286" t="s">
        <v>261</v>
      </c>
      <c r="C27" s="645" t="s">
        <v>1195</v>
      </c>
      <c r="D27" s="1375"/>
      <c r="E27" s="1299">
        <v>3.1629999999999998</v>
      </c>
      <c r="F27" s="1398"/>
      <c r="G27" s="1397"/>
      <c r="H27" s="1396"/>
      <c r="I27" s="1372"/>
      <c r="K27" s="1293">
        <v>0</v>
      </c>
      <c r="L27" s="1294">
        <v>0</v>
      </c>
      <c r="N27" s="983">
        <f t="shared" si="0"/>
        <v>1</v>
      </c>
      <c r="P27" s="644">
        <v>301073</v>
      </c>
      <c r="Q27" s="1286" t="s">
        <v>38</v>
      </c>
      <c r="R27" s="645" t="s">
        <v>570</v>
      </c>
      <c r="S27" s="1375"/>
      <c r="T27" s="1299">
        <v>1.734</v>
      </c>
      <c r="U27" s="1363"/>
      <c r="V27" s="1363"/>
      <c r="W27" s="1363"/>
      <c r="X27" s="1363"/>
      <c r="Z27" s="1295">
        <v>1</v>
      </c>
      <c r="AA27" s="1296">
        <v>0</v>
      </c>
      <c r="AH27" s="197"/>
      <c r="AI27" s="195"/>
    </row>
    <row r="28" spans="1:36">
      <c r="A28" s="96">
        <v>300049</v>
      </c>
      <c r="B28" s="1286" t="s">
        <v>742</v>
      </c>
      <c r="C28" s="645" t="s">
        <v>1195</v>
      </c>
      <c r="D28" s="1375"/>
      <c r="E28" s="1299">
        <v>2.6930000000000001</v>
      </c>
      <c r="F28" s="1398"/>
      <c r="G28" s="1397"/>
      <c r="H28" s="1396"/>
      <c r="I28" s="1372"/>
      <c r="K28" s="1293">
        <v>0</v>
      </c>
      <c r="L28" s="1294">
        <v>0</v>
      </c>
      <c r="N28" s="983">
        <f t="shared" si="0"/>
        <v>1</v>
      </c>
      <c r="P28" s="644">
        <v>301074</v>
      </c>
      <c r="Q28" s="1286" t="s">
        <v>429</v>
      </c>
      <c r="R28" s="645" t="s">
        <v>570</v>
      </c>
      <c r="S28" s="1375"/>
      <c r="T28" s="1299">
        <v>1.169</v>
      </c>
      <c r="U28" s="1363"/>
      <c r="V28" s="1363"/>
      <c r="W28" s="1363"/>
      <c r="X28" s="1363"/>
      <c r="Z28" s="1295">
        <v>1</v>
      </c>
      <c r="AA28" s="1296">
        <v>0</v>
      </c>
      <c r="AC28" s="1420"/>
      <c r="AD28" s="1420"/>
      <c r="AE28" s="1420"/>
      <c r="AF28" s="1420"/>
      <c r="AG28" s="1420"/>
      <c r="AH28" s="197"/>
      <c r="AI28" s="195"/>
    </row>
    <row r="29" spans="1:36">
      <c r="A29" s="96">
        <v>300050</v>
      </c>
      <c r="B29" s="1286" t="s">
        <v>52</v>
      </c>
      <c r="C29" s="645" t="s">
        <v>1195</v>
      </c>
      <c r="D29" s="1375"/>
      <c r="E29" s="1299">
        <v>3.0150000000000001</v>
      </c>
      <c r="F29" s="1398"/>
      <c r="G29" s="1397"/>
      <c r="H29" s="1396"/>
      <c r="I29" s="1372"/>
      <c r="K29" s="1293">
        <v>0</v>
      </c>
      <c r="L29" s="1294">
        <v>0</v>
      </c>
      <c r="N29" s="983">
        <f t="shared" si="0"/>
        <v>1</v>
      </c>
      <c r="P29" s="644">
        <v>301075</v>
      </c>
      <c r="Q29" s="1286" t="s">
        <v>430</v>
      </c>
      <c r="R29" s="645" t="s">
        <v>570</v>
      </c>
      <c r="S29" s="1375"/>
      <c r="T29" s="1299">
        <v>1.173</v>
      </c>
      <c r="U29" s="1363"/>
      <c r="V29" s="1363"/>
      <c r="W29" s="1363"/>
      <c r="X29" s="1363"/>
      <c r="Z29" s="1295">
        <v>1</v>
      </c>
      <c r="AA29" s="1296">
        <v>0</v>
      </c>
      <c r="AC29" s="970"/>
      <c r="AD29" s="970"/>
      <c r="AE29" s="970"/>
      <c r="AF29" s="970"/>
      <c r="AG29" s="970"/>
      <c r="AH29" s="197"/>
      <c r="AI29" s="195"/>
    </row>
    <row r="30" spans="1:36">
      <c r="A30" s="96">
        <v>300052</v>
      </c>
      <c r="B30" s="1286" t="s">
        <v>53</v>
      </c>
      <c r="C30" s="645" t="s">
        <v>1195</v>
      </c>
      <c r="D30" s="1375"/>
      <c r="E30" s="1299">
        <v>3.0150000000000001</v>
      </c>
      <c r="F30" s="1398"/>
      <c r="G30" s="1397"/>
      <c r="H30" s="1396"/>
      <c r="I30" s="1372"/>
      <c r="K30" s="1293">
        <v>0</v>
      </c>
      <c r="L30" s="1294">
        <v>0</v>
      </c>
      <c r="N30" s="983">
        <f t="shared" si="0"/>
        <v>1</v>
      </c>
      <c r="P30" s="644">
        <v>301076</v>
      </c>
      <c r="Q30" s="1286" t="s">
        <v>431</v>
      </c>
      <c r="R30" s="645" t="s">
        <v>570</v>
      </c>
      <c r="S30" s="1375"/>
      <c r="T30" s="1299">
        <v>1.06</v>
      </c>
      <c r="U30" s="1363"/>
      <c r="V30" s="1363"/>
      <c r="W30" s="1363"/>
      <c r="X30" s="1363"/>
      <c r="Z30" s="1295">
        <v>1</v>
      </c>
      <c r="AA30" s="1296">
        <v>0</v>
      </c>
      <c r="AC30" s="990"/>
      <c r="AD30" s="991"/>
      <c r="AE30" s="208"/>
      <c r="AF30" s="971"/>
      <c r="AG30" s="972"/>
    </row>
    <row r="31" spans="1:36">
      <c r="A31" s="96">
        <v>300053</v>
      </c>
      <c r="B31" s="1286" t="s">
        <v>743</v>
      </c>
      <c r="C31" s="645" t="s">
        <v>1195</v>
      </c>
      <c r="D31" s="1375"/>
      <c r="E31" s="1299">
        <v>3.0150000000000001</v>
      </c>
      <c r="F31" s="1398"/>
      <c r="G31" s="1397"/>
      <c r="H31" s="1396"/>
      <c r="I31" s="1372"/>
      <c r="K31" s="1293">
        <v>0</v>
      </c>
      <c r="L31" s="1294">
        <v>0</v>
      </c>
      <c r="N31" s="983">
        <f t="shared" si="0"/>
        <v>1</v>
      </c>
      <c r="P31" s="644">
        <v>301078</v>
      </c>
      <c r="Q31" s="1286" t="s">
        <v>432</v>
      </c>
      <c r="R31" s="645" t="s">
        <v>570</v>
      </c>
      <c r="S31" s="1375"/>
      <c r="T31" s="1299">
        <v>1.089</v>
      </c>
      <c r="U31" s="1363"/>
      <c r="V31" s="1363"/>
      <c r="W31" s="1363"/>
      <c r="X31" s="1363"/>
      <c r="Z31" s="1295">
        <v>1</v>
      </c>
      <c r="AA31" s="1296">
        <v>0</v>
      </c>
      <c r="AC31" s="990"/>
      <c r="AD31" s="991"/>
      <c r="AE31" s="208"/>
      <c r="AF31" s="971"/>
      <c r="AG31" s="972"/>
    </row>
    <row r="32" spans="1:36">
      <c r="A32" s="96">
        <v>300057</v>
      </c>
      <c r="B32" s="1286" t="s">
        <v>201</v>
      </c>
      <c r="C32" s="645" t="s">
        <v>1196</v>
      </c>
      <c r="D32" s="1375"/>
      <c r="E32" s="1299">
        <v>2.0070000000000001</v>
      </c>
      <c r="F32" s="1398"/>
      <c r="G32" s="1397"/>
      <c r="H32" s="1396"/>
      <c r="I32" s="1372"/>
      <c r="K32" s="1293">
        <v>1</v>
      </c>
      <c r="L32" s="1294">
        <v>0</v>
      </c>
      <c r="N32" s="983">
        <f t="shared" si="0"/>
        <v>0</v>
      </c>
      <c r="P32" s="644">
        <v>301080</v>
      </c>
      <c r="Q32" s="1286" t="s">
        <v>433</v>
      </c>
      <c r="R32" s="645" t="s">
        <v>570</v>
      </c>
      <c r="S32" s="1375"/>
      <c r="T32" s="1299">
        <v>1.8979999999999999</v>
      </c>
      <c r="U32" s="1363"/>
      <c r="V32" s="1363"/>
      <c r="W32" s="1363"/>
      <c r="X32" s="1363"/>
      <c r="Z32" s="1295">
        <v>1</v>
      </c>
      <c r="AA32" s="1296">
        <v>0</v>
      </c>
      <c r="AC32" s="990"/>
      <c r="AD32" s="991"/>
      <c r="AE32" s="208"/>
      <c r="AF32" s="971"/>
      <c r="AG32" s="972"/>
    </row>
    <row r="33" spans="1:34">
      <c r="A33" s="96">
        <v>300059</v>
      </c>
      <c r="B33" s="1286" t="s">
        <v>744</v>
      </c>
      <c r="C33" s="645" t="s">
        <v>1195</v>
      </c>
      <c r="D33" s="1375"/>
      <c r="E33" s="1299">
        <v>2.2149999999999999</v>
      </c>
      <c r="F33" s="1398"/>
      <c r="G33" s="1397"/>
      <c r="H33" s="1396"/>
      <c r="I33" s="1372"/>
      <c r="K33" s="1293">
        <v>0</v>
      </c>
      <c r="L33" s="1294">
        <v>0</v>
      </c>
      <c r="N33" s="983">
        <f t="shared" si="0"/>
        <v>1</v>
      </c>
      <c r="P33" s="644">
        <v>301082</v>
      </c>
      <c r="Q33" s="1286" t="s">
        <v>39</v>
      </c>
      <c r="R33" s="645" t="s">
        <v>570</v>
      </c>
      <c r="S33" s="1375"/>
      <c r="T33" s="1299">
        <v>1.089</v>
      </c>
      <c r="U33" s="1363"/>
      <c r="V33" s="1363"/>
      <c r="W33" s="1363"/>
      <c r="X33" s="1363"/>
      <c r="Z33" s="1295">
        <v>1</v>
      </c>
      <c r="AA33" s="1296">
        <v>0</v>
      </c>
      <c r="AC33" s="990"/>
      <c r="AD33" s="991"/>
      <c r="AE33" s="208"/>
      <c r="AF33" s="971"/>
      <c r="AG33" s="972"/>
    </row>
    <row r="34" spans="1:34">
      <c r="A34" s="96">
        <v>300060</v>
      </c>
      <c r="B34" s="1286" t="s">
        <v>54</v>
      </c>
      <c r="C34" s="645" t="s">
        <v>1196</v>
      </c>
      <c r="D34" s="1375"/>
      <c r="E34" s="1299">
        <v>2.0840000000000001</v>
      </c>
      <c r="F34" s="1398"/>
      <c r="G34" s="1397"/>
      <c r="H34" s="1396"/>
      <c r="I34" s="1372"/>
      <c r="K34" s="1293">
        <v>1</v>
      </c>
      <c r="L34" s="1294">
        <v>0</v>
      </c>
      <c r="N34" s="983">
        <f t="shared" si="0"/>
        <v>0</v>
      </c>
      <c r="P34" s="644">
        <v>301083</v>
      </c>
      <c r="Q34" s="1286" t="s">
        <v>434</v>
      </c>
      <c r="R34" s="645" t="s">
        <v>570</v>
      </c>
      <c r="S34" s="1375"/>
      <c r="T34" s="1299">
        <v>1.089</v>
      </c>
      <c r="U34" s="1363"/>
      <c r="V34" s="1363"/>
      <c r="W34" s="1363"/>
      <c r="X34" s="1363"/>
      <c r="Z34" s="1295">
        <v>1</v>
      </c>
      <c r="AA34" s="1296">
        <v>0</v>
      </c>
      <c r="AC34" s="990"/>
      <c r="AD34" s="991"/>
      <c r="AE34" s="208"/>
      <c r="AF34" s="971"/>
      <c r="AG34" s="972"/>
    </row>
    <row r="35" spans="1:34">
      <c r="A35" s="96">
        <v>300064</v>
      </c>
      <c r="B35" s="1286" t="s">
        <v>745</v>
      </c>
      <c r="C35" s="645" t="s">
        <v>1195</v>
      </c>
      <c r="D35" s="1375"/>
      <c r="E35" s="1299">
        <v>2.2149999999999999</v>
      </c>
      <c r="F35" s="1398"/>
      <c r="G35" s="1397"/>
      <c r="H35" s="1396"/>
      <c r="I35" s="1372"/>
      <c r="K35" s="1293">
        <v>0</v>
      </c>
      <c r="L35" s="1294">
        <v>0</v>
      </c>
      <c r="N35" s="983">
        <f t="shared" si="0"/>
        <v>1</v>
      </c>
      <c r="P35" s="644">
        <v>301084</v>
      </c>
      <c r="Q35" s="1286" t="s">
        <v>40</v>
      </c>
      <c r="R35" s="645" t="s">
        <v>570</v>
      </c>
      <c r="S35" s="1375"/>
      <c r="T35" s="1299">
        <v>1.1379999999999999</v>
      </c>
      <c r="U35" s="1363"/>
      <c r="V35" s="1363"/>
      <c r="W35" s="1363"/>
      <c r="X35" s="1363"/>
      <c r="Z35" s="1295">
        <v>1</v>
      </c>
      <c r="AA35" s="1296">
        <v>0</v>
      </c>
      <c r="AC35" s="990"/>
      <c r="AD35" s="991"/>
      <c r="AE35" s="208"/>
      <c r="AF35" s="971"/>
      <c r="AG35" s="972"/>
    </row>
    <row r="36" spans="1:34">
      <c r="A36" s="96">
        <v>300066</v>
      </c>
      <c r="B36" s="1286" t="s">
        <v>746</v>
      </c>
      <c r="C36" s="645" t="s">
        <v>1195</v>
      </c>
      <c r="D36" s="1375"/>
      <c r="E36" s="1299">
        <v>2.2149999999999999</v>
      </c>
      <c r="F36" s="1398"/>
      <c r="G36" s="1397"/>
      <c r="H36" s="1396"/>
      <c r="I36" s="1372"/>
      <c r="K36" s="1293">
        <v>0</v>
      </c>
      <c r="L36" s="1294">
        <v>0</v>
      </c>
      <c r="N36" s="983">
        <f t="shared" si="0"/>
        <v>1</v>
      </c>
      <c r="P36" s="644">
        <v>301085</v>
      </c>
      <c r="Q36" s="1286" t="s">
        <v>435</v>
      </c>
      <c r="R36" s="645" t="s">
        <v>570</v>
      </c>
      <c r="S36" s="1375"/>
      <c r="T36" s="1299">
        <v>1.173</v>
      </c>
      <c r="U36" s="1363"/>
      <c r="V36" s="1363"/>
      <c r="W36" s="1363"/>
      <c r="X36" s="1363"/>
      <c r="Z36" s="1295">
        <v>1</v>
      </c>
      <c r="AA36" s="1296">
        <v>0</v>
      </c>
      <c r="AC36" s="990"/>
      <c r="AD36" s="991"/>
      <c r="AE36" s="208"/>
      <c r="AF36" s="971"/>
      <c r="AG36" s="972"/>
    </row>
    <row r="37" spans="1:34">
      <c r="A37" s="96">
        <v>300070</v>
      </c>
      <c r="B37" s="1286" t="s">
        <v>55</v>
      </c>
      <c r="C37" s="645" t="s">
        <v>1196</v>
      </c>
      <c r="D37" s="1375"/>
      <c r="E37" s="1299">
        <v>2.4249999999999998</v>
      </c>
      <c r="F37" s="1398"/>
      <c r="G37" s="1397"/>
      <c r="H37" s="1396"/>
      <c r="I37" s="1372"/>
      <c r="K37" s="1293">
        <v>1</v>
      </c>
      <c r="L37" s="1294">
        <v>0</v>
      </c>
      <c r="N37" s="983">
        <f t="shared" si="0"/>
        <v>0</v>
      </c>
      <c r="P37" s="644">
        <v>301086</v>
      </c>
      <c r="Q37" s="1286" t="s">
        <v>41</v>
      </c>
      <c r="R37" s="645" t="s">
        <v>570</v>
      </c>
      <c r="S37" s="1375"/>
      <c r="T37" s="1299">
        <v>1.2589999999999999</v>
      </c>
      <c r="U37" s="1363"/>
      <c r="V37" s="1363"/>
      <c r="W37" s="1363"/>
      <c r="X37" s="1363"/>
      <c r="Z37" s="1295">
        <v>1</v>
      </c>
      <c r="AA37" s="1296">
        <v>0</v>
      </c>
      <c r="AC37" s="593"/>
      <c r="AD37" s="991"/>
      <c r="AE37" s="208"/>
      <c r="AF37" s="971"/>
      <c r="AG37" s="972"/>
    </row>
    <row r="38" spans="1:34">
      <c r="A38" s="96">
        <v>300071</v>
      </c>
      <c r="B38" s="1286" t="s">
        <v>56</v>
      </c>
      <c r="C38" s="645" t="s">
        <v>1196</v>
      </c>
      <c r="D38" s="1375"/>
      <c r="E38" s="1299">
        <v>2.0840000000000001</v>
      </c>
      <c r="F38" s="1398"/>
      <c r="G38" s="1397"/>
      <c r="H38" s="1396"/>
      <c r="I38" s="1372"/>
      <c r="K38" s="1293">
        <v>1</v>
      </c>
      <c r="L38" s="1294">
        <v>0</v>
      </c>
      <c r="N38" s="983">
        <f t="shared" si="0"/>
        <v>0</v>
      </c>
      <c r="P38" s="644">
        <v>301088</v>
      </c>
      <c r="Q38" s="1286" t="s">
        <v>42</v>
      </c>
      <c r="R38" s="645" t="s">
        <v>570</v>
      </c>
      <c r="S38" s="1375"/>
      <c r="T38" s="1299">
        <v>1.173</v>
      </c>
      <c r="U38" s="1363"/>
      <c r="V38" s="1363"/>
      <c r="W38" s="1363"/>
      <c r="X38" s="1363"/>
      <c r="Z38" s="1295">
        <v>1</v>
      </c>
      <c r="AA38" s="1296">
        <v>0</v>
      </c>
      <c r="AC38" s="209"/>
      <c r="AD38" s="209"/>
      <c r="AE38" s="209"/>
      <c r="AF38" s="210"/>
      <c r="AG38" s="972"/>
    </row>
    <row r="39" spans="1:34">
      <c r="A39" s="96">
        <v>300072</v>
      </c>
      <c r="B39" s="1286" t="s">
        <v>24</v>
      </c>
      <c r="C39" s="645" t="s">
        <v>1196</v>
      </c>
      <c r="D39" s="1375"/>
      <c r="E39" s="1299">
        <v>2.0840000000000001</v>
      </c>
      <c r="F39" s="1398"/>
      <c r="G39" s="1397"/>
      <c r="H39" s="1396"/>
      <c r="I39" s="1372"/>
      <c r="K39" s="1293">
        <v>1</v>
      </c>
      <c r="L39" s="1294">
        <v>0</v>
      </c>
      <c r="N39" s="983">
        <f t="shared" si="0"/>
        <v>0</v>
      </c>
      <c r="P39" s="644">
        <v>301089</v>
      </c>
      <c r="Q39" s="1286" t="s">
        <v>436</v>
      </c>
      <c r="R39" s="645" t="s">
        <v>570</v>
      </c>
      <c r="S39" s="1375"/>
      <c r="T39" s="1299">
        <v>1.06</v>
      </c>
      <c r="U39" s="1363"/>
      <c r="V39" s="1363"/>
      <c r="W39" s="1363"/>
      <c r="X39" s="1363"/>
      <c r="Z39" s="1295">
        <v>1</v>
      </c>
      <c r="AA39" s="1296">
        <v>0</v>
      </c>
    </row>
    <row r="40" spans="1:34">
      <c r="A40" s="96">
        <v>300073</v>
      </c>
      <c r="B40" s="1286" t="s">
        <v>57</v>
      </c>
      <c r="C40" s="645" t="s">
        <v>1196</v>
      </c>
      <c r="D40" s="1375"/>
      <c r="E40" s="1299">
        <v>2.4790000000000001</v>
      </c>
      <c r="F40" s="1398"/>
      <c r="G40" s="1397"/>
      <c r="H40" s="1396"/>
      <c r="I40" s="1372"/>
      <c r="K40" s="1293">
        <v>1</v>
      </c>
      <c r="L40" s="1294">
        <v>0</v>
      </c>
      <c r="N40" s="983">
        <f t="shared" si="0"/>
        <v>0</v>
      </c>
      <c r="P40" s="644">
        <v>301090</v>
      </c>
      <c r="Q40" s="1286" t="s">
        <v>657</v>
      </c>
      <c r="R40" s="645" t="s">
        <v>570</v>
      </c>
      <c r="S40" s="1375"/>
      <c r="T40" s="1299">
        <v>1.089</v>
      </c>
      <c r="U40" s="1363"/>
      <c r="V40" s="1363"/>
      <c r="W40" s="1363"/>
      <c r="X40" s="1363"/>
      <c r="Z40" s="1295">
        <v>1</v>
      </c>
      <c r="AA40" s="1296">
        <v>0</v>
      </c>
      <c r="AC40" s="1420"/>
      <c r="AD40" s="1420"/>
      <c r="AE40" s="1420"/>
      <c r="AF40" s="1420"/>
      <c r="AG40" s="1420"/>
    </row>
    <row r="41" spans="1:34">
      <c r="A41" s="96">
        <v>300074</v>
      </c>
      <c r="B41" s="1286" t="s">
        <v>58</v>
      </c>
      <c r="C41" s="645" t="s">
        <v>1196</v>
      </c>
      <c r="D41" s="1375"/>
      <c r="E41" s="1299">
        <v>2.37</v>
      </c>
      <c r="F41" s="1398"/>
      <c r="G41" s="1397"/>
      <c r="H41" s="1396"/>
      <c r="I41" s="1372"/>
      <c r="K41" s="1293">
        <v>1</v>
      </c>
      <c r="L41" s="1294">
        <v>0</v>
      </c>
      <c r="N41" s="983">
        <f t="shared" si="0"/>
        <v>0</v>
      </c>
      <c r="P41" s="644">
        <v>301092</v>
      </c>
      <c r="Q41" s="1286" t="s">
        <v>43</v>
      </c>
      <c r="R41" s="645" t="s">
        <v>570</v>
      </c>
      <c r="S41" s="1375"/>
      <c r="T41" s="1299">
        <v>1.8979999999999999</v>
      </c>
      <c r="U41" s="1363"/>
      <c r="V41" s="1363"/>
      <c r="W41" s="1363"/>
      <c r="X41" s="1363"/>
      <c r="Z41" s="1295">
        <v>1</v>
      </c>
      <c r="AA41" s="1296">
        <v>0</v>
      </c>
      <c r="AC41" s="970"/>
      <c r="AD41" s="970"/>
      <c r="AE41" s="970"/>
      <c r="AF41" s="970"/>
      <c r="AG41" s="970"/>
    </row>
    <row r="42" spans="1:34">
      <c r="A42" s="96">
        <v>300075</v>
      </c>
      <c r="B42" s="1286" t="s">
        <v>1197</v>
      </c>
      <c r="C42" s="645" t="s">
        <v>1196</v>
      </c>
      <c r="D42" s="1375"/>
      <c r="E42" s="1299">
        <v>2.4249999999999998</v>
      </c>
      <c r="F42" s="1398"/>
      <c r="G42" s="1397"/>
      <c r="H42" s="1396"/>
      <c r="I42" s="1372"/>
      <c r="K42" s="1293">
        <v>1</v>
      </c>
      <c r="L42" s="1294">
        <v>0</v>
      </c>
      <c r="N42" s="983">
        <f t="shared" ref="N42:N73" si="1">IF(C42="local distribution point",1,0)</f>
        <v>0</v>
      </c>
      <c r="P42" s="644">
        <v>301093</v>
      </c>
      <c r="Q42" s="1286" t="s">
        <v>437</v>
      </c>
      <c r="R42" s="645" t="s">
        <v>570</v>
      </c>
      <c r="S42" s="1375"/>
      <c r="T42" s="1299">
        <v>1.089</v>
      </c>
      <c r="U42" s="1363"/>
      <c r="V42" s="1363"/>
      <c r="W42" s="1363"/>
      <c r="X42" s="1363"/>
      <c r="Z42" s="1295">
        <v>1</v>
      </c>
      <c r="AA42" s="1296">
        <v>0</v>
      </c>
      <c r="AC42" s="593"/>
      <c r="AD42" s="594"/>
      <c r="AE42" s="594"/>
      <c r="AF42" s="971"/>
      <c r="AG42" s="972"/>
    </row>
    <row r="43" spans="1:34">
      <c r="A43" s="96">
        <v>300076</v>
      </c>
      <c r="B43" s="1286" t="s">
        <v>25</v>
      </c>
      <c r="C43" s="645" t="s">
        <v>1196</v>
      </c>
      <c r="D43" s="1375"/>
      <c r="E43" s="1299">
        <v>2.4249999999999998</v>
      </c>
      <c r="F43" s="1398"/>
      <c r="G43" s="1397"/>
      <c r="H43" s="1396"/>
      <c r="I43" s="1372"/>
      <c r="K43" s="1293">
        <v>1</v>
      </c>
      <c r="L43" s="1294">
        <v>0</v>
      </c>
      <c r="N43" s="983">
        <f t="shared" si="1"/>
        <v>0</v>
      </c>
      <c r="P43" s="644">
        <v>301094</v>
      </c>
      <c r="Q43" s="1286" t="s">
        <v>438</v>
      </c>
      <c r="R43" s="645" t="s">
        <v>570</v>
      </c>
      <c r="S43" s="1375"/>
      <c r="T43" s="1299">
        <v>1.1020000000000001</v>
      </c>
      <c r="U43" s="1363"/>
      <c r="V43" s="1363"/>
      <c r="W43" s="1363"/>
      <c r="X43" s="1363"/>
      <c r="Z43" s="1295">
        <v>1</v>
      </c>
      <c r="AA43" s="1296">
        <v>0</v>
      </c>
      <c r="AC43" s="593"/>
      <c r="AD43" s="594"/>
      <c r="AE43" s="973"/>
      <c r="AF43" s="971"/>
      <c r="AG43" s="972"/>
    </row>
    <row r="44" spans="1:34">
      <c r="A44" s="96">
        <v>300078</v>
      </c>
      <c r="B44" s="1286" t="s">
        <v>59</v>
      </c>
      <c r="C44" s="645" t="s">
        <v>1196</v>
      </c>
      <c r="D44" s="1375"/>
      <c r="E44" s="1299">
        <v>2.4249999999999998</v>
      </c>
      <c r="F44" s="1398"/>
      <c r="G44" s="1397"/>
      <c r="H44" s="1396"/>
      <c r="I44" s="1372"/>
      <c r="K44" s="1293">
        <v>1</v>
      </c>
      <c r="L44" s="1294">
        <v>0</v>
      </c>
      <c r="N44" s="983">
        <f t="shared" si="1"/>
        <v>0</v>
      </c>
      <c r="P44" s="644">
        <v>301096</v>
      </c>
      <c r="Q44" s="1286" t="s">
        <v>439</v>
      </c>
      <c r="R44" s="645" t="s">
        <v>570</v>
      </c>
      <c r="S44" s="1375"/>
      <c r="T44" s="1299">
        <v>1.06</v>
      </c>
      <c r="U44" s="1363"/>
      <c r="V44" s="1363"/>
      <c r="W44" s="1363"/>
      <c r="X44" s="1363"/>
      <c r="Z44" s="1295">
        <v>1</v>
      </c>
      <c r="AA44" s="1296">
        <v>0</v>
      </c>
      <c r="AC44" s="209"/>
      <c r="AD44" s="209"/>
      <c r="AE44" s="209"/>
      <c r="AF44" s="210"/>
      <c r="AG44" s="972"/>
    </row>
    <row r="45" spans="1:34">
      <c r="A45" s="96">
        <v>300081</v>
      </c>
      <c r="B45" s="1286" t="s">
        <v>26</v>
      </c>
      <c r="C45" s="645" t="s">
        <v>1196</v>
      </c>
      <c r="D45" s="1375"/>
      <c r="E45" s="1299">
        <v>2.0950000000000002</v>
      </c>
      <c r="F45" s="1398"/>
      <c r="G45" s="1397"/>
      <c r="H45" s="1396"/>
      <c r="I45" s="1372"/>
      <c r="K45" s="1293">
        <v>1</v>
      </c>
      <c r="L45" s="1294">
        <v>0</v>
      </c>
      <c r="N45" s="983">
        <f t="shared" si="1"/>
        <v>0</v>
      </c>
      <c r="P45" s="644">
        <v>301097</v>
      </c>
      <c r="Q45" s="1286" t="s">
        <v>440</v>
      </c>
      <c r="R45" s="645" t="s">
        <v>570</v>
      </c>
      <c r="S45" s="1375"/>
      <c r="T45" s="1299">
        <v>1.089</v>
      </c>
      <c r="U45" s="1363"/>
      <c r="V45" s="1363"/>
      <c r="W45" s="1363"/>
      <c r="X45" s="1363"/>
      <c r="Z45" s="1295">
        <v>1</v>
      </c>
      <c r="AA45" s="1296">
        <v>0</v>
      </c>
      <c r="AC45" s="209"/>
      <c r="AD45" s="209"/>
      <c r="AE45" s="209"/>
      <c r="AF45" s="209"/>
      <c r="AG45" s="209"/>
    </row>
    <row r="46" spans="1:34">
      <c r="A46" s="96">
        <v>300082</v>
      </c>
      <c r="B46" s="1286" t="s">
        <v>747</v>
      </c>
      <c r="C46" s="645" t="s">
        <v>1196</v>
      </c>
      <c r="D46" s="1375"/>
      <c r="E46" s="1299">
        <v>2.4790000000000001</v>
      </c>
      <c r="F46" s="1398"/>
      <c r="G46" s="1397"/>
      <c r="H46" s="1396"/>
      <c r="I46" s="1372"/>
      <c r="K46" s="1293">
        <v>1</v>
      </c>
      <c r="L46" s="1294">
        <v>0</v>
      </c>
      <c r="N46" s="983">
        <f t="shared" si="1"/>
        <v>0</v>
      </c>
      <c r="P46" s="644">
        <v>301098</v>
      </c>
      <c r="Q46" s="1286" t="s">
        <v>441</v>
      </c>
      <c r="R46" s="645" t="s">
        <v>570</v>
      </c>
      <c r="S46" s="1375"/>
      <c r="T46" s="1299">
        <v>1.06</v>
      </c>
      <c r="U46" s="1363"/>
      <c r="V46" s="1363"/>
      <c r="W46" s="1363"/>
      <c r="X46" s="1363"/>
      <c r="Z46" s="1295">
        <v>1</v>
      </c>
      <c r="AA46" s="1296">
        <v>0</v>
      </c>
      <c r="AC46" s="1420"/>
      <c r="AD46" s="1420"/>
      <c r="AE46" s="1420"/>
      <c r="AF46" s="1420"/>
      <c r="AG46" s="1420"/>
    </row>
    <row r="47" spans="1:34">
      <c r="A47" s="96">
        <v>300083</v>
      </c>
      <c r="B47" s="1286" t="s">
        <v>60</v>
      </c>
      <c r="C47" s="645" t="s">
        <v>1196</v>
      </c>
      <c r="D47" s="1375"/>
      <c r="E47" s="1299">
        <v>2.0950000000000002</v>
      </c>
      <c r="F47" s="1398"/>
      <c r="G47" s="1397"/>
      <c r="H47" s="1396"/>
      <c r="I47" s="1372"/>
      <c r="K47" s="1293">
        <v>1</v>
      </c>
      <c r="L47" s="1294">
        <v>0</v>
      </c>
      <c r="N47" s="983">
        <f t="shared" si="1"/>
        <v>0</v>
      </c>
      <c r="P47" s="644">
        <v>301101</v>
      </c>
      <c r="Q47" s="1286" t="s">
        <v>442</v>
      </c>
      <c r="R47" s="645" t="s">
        <v>570</v>
      </c>
      <c r="S47" s="1375"/>
      <c r="T47" s="1299">
        <v>1.8979999999999999</v>
      </c>
      <c r="U47" s="1363"/>
      <c r="V47" s="1363"/>
      <c r="W47" s="1363"/>
      <c r="X47" s="1363"/>
      <c r="Z47" s="1295">
        <v>1</v>
      </c>
      <c r="AA47" s="1296">
        <v>0</v>
      </c>
      <c r="AC47" s="970"/>
      <c r="AD47" s="970"/>
      <c r="AE47" s="970"/>
      <c r="AF47" s="970"/>
      <c r="AG47" s="970"/>
    </row>
    <row r="48" spans="1:34">
      <c r="A48" s="96">
        <v>300085</v>
      </c>
      <c r="B48" s="1286" t="s">
        <v>27</v>
      </c>
      <c r="C48" s="645" t="s">
        <v>1196</v>
      </c>
      <c r="D48" s="1375"/>
      <c r="E48" s="1299">
        <v>2.0950000000000002</v>
      </c>
      <c r="F48" s="1398"/>
      <c r="G48" s="1397"/>
      <c r="H48" s="1396"/>
      <c r="I48" s="1372"/>
      <c r="K48" s="1293">
        <v>1</v>
      </c>
      <c r="L48" s="1294">
        <v>0</v>
      </c>
      <c r="N48" s="983">
        <f t="shared" si="1"/>
        <v>0</v>
      </c>
      <c r="P48" s="644">
        <v>301106</v>
      </c>
      <c r="Q48" s="1286" t="s">
        <v>443</v>
      </c>
      <c r="R48" s="645" t="s">
        <v>570</v>
      </c>
      <c r="S48" s="1375"/>
      <c r="T48" s="1299">
        <v>1.1379999999999999</v>
      </c>
      <c r="U48" s="1363"/>
      <c r="V48" s="1363"/>
      <c r="W48" s="1363"/>
      <c r="X48" s="1363"/>
      <c r="Z48" s="1295">
        <v>1</v>
      </c>
      <c r="AA48" s="1296">
        <v>0</v>
      </c>
      <c r="AC48" s="593"/>
      <c r="AD48" s="594"/>
      <c r="AE48" s="973"/>
      <c r="AF48" s="971"/>
      <c r="AG48" s="972"/>
      <c r="AH48" s="201"/>
    </row>
    <row r="49" spans="1:34">
      <c r="A49" s="96">
        <v>300088</v>
      </c>
      <c r="B49" s="1286" t="s">
        <v>748</v>
      </c>
      <c r="C49" s="645" t="s">
        <v>1196</v>
      </c>
      <c r="D49" s="1375"/>
      <c r="E49" s="1299">
        <v>1.9650000000000001</v>
      </c>
      <c r="F49" s="1398"/>
      <c r="G49" s="1397"/>
      <c r="H49" s="1396"/>
      <c r="I49" s="1372"/>
      <c r="K49" s="1293">
        <v>1</v>
      </c>
      <c r="L49" s="1294">
        <v>0</v>
      </c>
      <c r="N49" s="983">
        <f t="shared" si="1"/>
        <v>0</v>
      </c>
      <c r="P49" s="644">
        <v>301107</v>
      </c>
      <c r="Q49" s="1286" t="s">
        <v>44</v>
      </c>
      <c r="R49" s="645" t="s">
        <v>570</v>
      </c>
      <c r="S49" s="1375"/>
      <c r="T49" s="1299">
        <v>1.06</v>
      </c>
      <c r="U49" s="1363"/>
      <c r="V49" s="1363"/>
      <c r="W49" s="1363"/>
      <c r="X49" s="1363"/>
      <c r="Z49" s="1295">
        <v>1</v>
      </c>
      <c r="AA49" s="1296">
        <v>0</v>
      </c>
      <c r="AC49" s="593"/>
      <c r="AD49" s="594"/>
      <c r="AE49" s="973"/>
      <c r="AF49" s="971"/>
      <c r="AG49" s="972"/>
    </row>
    <row r="50" spans="1:34">
      <c r="A50" s="96">
        <v>300089</v>
      </c>
      <c r="B50" s="1286" t="s">
        <v>61</v>
      </c>
      <c r="C50" s="645" t="s">
        <v>1196</v>
      </c>
      <c r="D50" s="1375"/>
      <c r="E50" s="1299">
        <v>2.0950000000000002</v>
      </c>
      <c r="F50" s="1398"/>
      <c r="G50" s="1397"/>
      <c r="H50" s="1396"/>
      <c r="I50" s="1372"/>
      <c r="K50" s="1293">
        <v>1</v>
      </c>
      <c r="L50" s="1294">
        <v>0</v>
      </c>
      <c r="N50" s="983">
        <f t="shared" si="1"/>
        <v>0</v>
      </c>
      <c r="P50" s="644">
        <v>301108</v>
      </c>
      <c r="Q50" s="1286" t="s">
        <v>845</v>
      </c>
      <c r="R50" s="645" t="s">
        <v>570</v>
      </c>
      <c r="S50" s="1375"/>
      <c r="T50" s="1299">
        <v>1.0660000000000001</v>
      </c>
      <c r="U50" s="1363"/>
      <c r="V50" s="1363"/>
      <c r="W50" s="1363"/>
      <c r="X50" s="1363"/>
      <c r="Z50" s="1295">
        <v>1</v>
      </c>
      <c r="AA50" s="1296">
        <v>0</v>
      </c>
      <c r="AC50" s="593"/>
      <c r="AD50" s="594"/>
      <c r="AE50" s="973"/>
      <c r="AF50" s="971"/>
      <c r="AG50" s="972"/>
    </row>
    <row r="51" spans="1:34">
      <c r="A51" s="96">
        <v>300090</v>
      </c>
      <c r="B51" s="1286" t="s">
        <v>62</v>
      </c>
      <c r="C51" s="645" t="s">
        <v>1196</v>
      </c>
      <c r="D51" s="1375"/>
      <c r="E51" s="1299">
        <v>2.3479999999999999</v>
      </c>
      <c r="F51" s="1398"/>
      <c r="G51" s="1397"/>
      <c r="H51" s="1396"/>
      <c r="I51" s="1372"/>
      <c r="K51" s="1293">
        <v>1</v>
      </c>
      <c r="L51" s="1294">
        <v>0</v>
      </c>
      <c r="N51" s="983">
        <f t="shared" si="1"/>
        <v>0</v>
      </c>
      <c r="P51" s="644">
        <v>301109</v>
      </c>
      <c r="Q51" s="1286" t="s">
        <v>444</v>
      </c>
      <c r="R51" s="645" t="s">
        <v>570</v>
      </c>
      <c r="S51" s="1375"/>
      <c r="T51" s="1299">
        <v>1.06</v>
      </c>
      <c r="U51" s="1363"/>
      <c r="V51" s="1363"/>
      <c r="W51" s="1363"/>
      <c r="X51" s="1363"/>
      <c r="Z51" s="1295">
        <v>1</v>
      </c>
      <c r="AA51" s="1296">
        <v>0</v>
      </c>
      <c r="AC51" s="593"/>
      <c r="AD51" s="594"/>
      <c r="AE51" s="973"/>
      <c r="AF51" s="971"/>
      <c r="AG51" s="972"/>
    </row>
    <row r="52" spans="1:34">
      <c r="A52" s="96">
        <v>300091</v>
      </c>
      <c r="B52" s="1286" t="s">
        <v>63</v>
      </c>
      <c r="C52" s="645" t="s">
        <v>1196</v>
      </c>
      <c r="D52" s="1375"/>
      <c r="E52" s="1299">
        <v>2.0950000000000002</v>
      </c>
      <c r="F52" s="1398"/>
      <c r="G52" s="1397"/>
      <c r="H52" s="1396"/>
      <c r="I52" s="1372"/>
      <c r="K52" s="1293">
        <v>1</v>
      </c>
      <c r="L52" s="1294">
        <v>0</v>
      </c>
      <c r="N52" s="983">
        <f t="shared" si="1"/>
        <v>0</v>
      </c>
      <c r="P52" s="644">
        <v>301111</v>
      </c>
      <c r="Q52" s="1286" t="s">
        <v>45</v>
      </c>
      <c r="R52" s="645" t="s">
        <v>568</v>
      </c>
      <c r="S52" s="1375"/>
      <c r="T52" s="1299">
        <v>1.8420000000000001</v>
      </c>
      <c r="U52" s="1363"/>
      <c r="V52" s="1363"/>
      <c r="W52" s="1363"/>
      <c r="X52" s="1363"/>
      <c r="Z52" s="1295">
        <v>0</v>
      </c>
      <c r="AA52" s="1296">
        <v>0</v>
      </c>
      <c r="AC52" s="593"/>
      <c r="AD52" s="594"/>
      <c r="AE52" s="973"/>
      <c r="AF52" s="971"/>
      <c r="AG52" s="972"/>
    </row>
    <row r="53" spans="1:34">
      <c r="A53" s="96">
        <v>300092</v>
      </c>
      <c r="B53" s="1286" t="s">
        <v>64</v>
      </c>
      <c r="C53" s="645" t="s">
        <v>1196</v>
      </c>
      <c r="D53" s="1375"/>
      <c r="E53" s="1299">
        <v>2.0840000000000001</v>
      </c>
      <c r="F53" s="1398"/>
      <c r="G53" s="1397"/>
      <c r="H53" s="1396"/>
      <c r="I53" s="1372"/>
      <c r="K53" s="1293">
        <v>1</v>
      </c>
      <c r="L53" s="1294">
        <v>0</v>
      </c>
      <c r="N53" s="983">
        <f t="shared" si="1"/>
        <v>0</v>
      </c>
      <c r="P53" s="644">
        <v>301113</v>
      </c>
      <c r="Q53" s="1286" t="s">
        <v>445</v>
      </c>
      <c r="R53" s="645" t="s">
        <v>568</v>
      </c>
      <c r="S53" s="1375"/>
      <c r="T53" s="1299">
        <v>0.96899999999999997</v>
      </c>
      <c r="U53" s="1363"/>
      <c r="V53" s="1363"/>
      <c r="W53" s="1363"/>
      <c r="X53" s="1363"/>
      <c r="Z53" s="1295">
        <v>0</v>
      </c>
      <c r="AA53" s="1296">
        <v>0</v>
      </c>
      <c r="AC53" s="209"/>
      <c r="AD53" s="209"/>
      <c r="AE53" s="974"/>
      <c r="AF53" s="210"/>
      <c r="AG53" s="972"/>
    </row>
    <row r="54" spans="1:34">
      <c r="A54" s="96">
        <v>300095</v>
      </c>
      <c r="B54" s="1286" t="s">
        <v>262</v>
      </c>
      <c r="C54" s="645" t="s">
        <v>1196</v>
      </c>
      <c r="D54" s="1375"/>
      <c r="E54" s="1299">
        <v>2.3479999999999999</v>
      </c>
      <c r="F54" s="1398"/>
      <c r="G54" s="1397"/>
      <c r="H54" s="1396"/>
      <c r="I54" s="1372"/>
      <c r="K54" s="1293">
        <v>1</v>
      </c>
      <c r="L54" s="1294">
        <v>0</v>
      </c>
      <c r="N54" s="983">
        <f t="shared" si="1"/>
        <v>0</v>
      </c>
      <c r="P54" s="644">
        <v>301114</v>
      </c>
      <c r="Q54" s="1286" t="s">
        <v>318</v>
      </c>
      <c r="R54" s="645" t="s">
        <v>569</v>
      </c>
      <c r="S54" s="1375"/>
      <c r="T54" s="1299">
        <v>0.85</v>
      </c>
      <c r="U54" s="1363"/>
      <c r="V54" s="1363"/>
      <c r="W54" s="1363"/>
      <c r="X54" s="1363"/>
      <c r="Z54" s="1295">
        <v>1</v>
      </c>
      <c r="AA54" s="1296">
        <v>0</v>
      </c>
      <c r="AC54" s="995"/>
      <c r="AH54" s="201"/>
    </row>
    <row r="55" spans="1:34">
      <c r="A55" s="96">
        <v>300096</v>
      </c>
      <c r="B55" s="1286" t="s">
        <v>65</v>
      </c>
      <c r="C55" s="645" t="s">
        <v>1196</v>
      </c>
      <c r="D55" s="1375"/>
      <c r="E55" s="1299">
        <v>2.3479999999999999</v>
      </c>
      <c r="F55" s="1398"/>
      <c r="G55" s="1397"/>
      <c r="H55" s="1396"/>
      <c r="I55" s="1372"/>
      <c r="K55" s="1293">
        <v>1</v>
      </c>
      <c r="L55" s="1294">
        <v>0</v>
      </c>
      <c r="N55" s="983">
        <f t="shared" si="1"/>
        <v>0</v>
      </c>
      <c r="P55" s="644">
        <v>301116</v>
      </c>
      <c r="Q55" s="1286" t="s">
        <v>319</v>
      </c>
      <c r="R55" s="645" t="s">
        <v>569</v>
      </c>
      <c r="S55" s="1375"/>
      <c r="T55" s="1299">
        <v>1.0649999999999999</v>
      </c>
      <c r="U55" s="1363"/>
      <c r="V55" s="1363"/>
      <c r="W55" s="1363"/>
      <c r="X55" s="1363"/>
      <c r="Z55" s="1295">
        <v>1</v>
      </c>
      <c r="AA55" s="1296">
        <v>0</v>
      </c>
    </row>
    <row r="56" spans="1:34">
      <c r="A56" s="96">
        <v>300097</v>
      </c>
      <c r="B56" s="1286" t="s">
        <v>66</v>
      </c>
      <c r="C56" s="645" t="s">
        <v>1196</v>
      </c>
      <c r="D56" s="1375"/>
      <c r="E56" s="1299">
        <v>2.4249999999999998</v>
      </c>
      <c r="F56" s="1398"/>
      <c r="G56" s="1397"/>
      <c r="H56" s="1396"/>
      <c r="I56" s="1372"/>
      <c r="K56" s="1293">
        <v>1</v>
      </c>
      <c r="L56" s="1294">
        <v>0</v>
      </c>
      <c r="N56" s="983">
        <f t="shared" si="1"/>
        <v>0</v>
      </c>
      <c r="P56" s="644">
        <v>301118</v>
      </c>
      <c r="Q56" s="1286" t="s">
        <v>231</v>
      </c>
      <c r="R56" s="645" t="s">
        <v>569</v>
      </c>
      <c r="S56" s="1375"/>
      <c r="T56" s="1299">
        <v>0.999</v>
      </c>
      <c r="U56" s="1363"/>
      <c r="V56" s="1363"/>
      <c r="W56" s="1363"/>
      <c r="X56" s="1363"/>
      <c r="Z56" s="1295">
        <v>1</v>
      </c>
      <c r="AA56" s="1296">
        <v>0</v>
      </c>
    </row>
    <row r="57" spans="1:34">
      <c r="A57" s="96">
        <v>300099</v>
      </c>
      <c r="B57" s="1286" t="s">
        <v>67</v>
      </c>
      <c r="C57" s="645" t="s">
        <v>1196</v>
      </c>
      <c r="D57" s="1375"/>
      <c r="E57" s="1299">
        <v>1.718</v>
      </c>
      <c r="F57" s="1398"/>
      <c r="G57" s="1397"/>
      <c r="H57" s="1396"/>
      <c r="I57" s="1372"/>
      <c r="K57" s="1293">
        <v>1</v>
      </c>
      <c r="L57" s="1294">
        <v>0</v>
      </c>
      <c r="N57" s="983">
        <f t="shared" si="1"/>
        <v>0</v>
      </c>
      <c r="P57" s="644">
        <v>301128</v>
      </c>
      <c r="Q57" s="1286" t="s">
        <v>449</v>
      </c>
      <c r="R57" s="645" t="s">
        <v>647</v>
      </c>
      <c r="S57" s="1375"/>
      <c r="T57" s="1299">
        <v>0.46800000000000003</v>
      </c>
      <c r="U57" s="1363"/>
      <c r="V57" s="1363"/>
      <c r="W57" s="1363"/>
      <c r="X57" s="1363"/>
      <c r="Z57" s="1295">
        <v>0</v>
      </c>
      <c r="AA57" s="1296">
        <v>0</v>
      </c>
    </row>
    <row r="58" spans="1:34">
      <c r="A58" s="96">
        <v>300100</v>
      </c>
      <c r="B58" s="1286" t="s">
        <v>28</v>
      </c>
      <c r="C58" s="645" t="s">
        <v>1196</v>
      </c>
      <c r="D58" s="1375"/>
      <c r="E58" s="1299">
        <v>2.0070000000000001</v>
      </c>
      <c r="F58" s="1398"/>
      <c r="G58" s="1397"/>
      <c r="H58" s="1396"/>
      <c r="I58" s="1372"/>
      <c r="K58" s="1293">
        <v>1</v>
      </c>
      <c r="L58" s="1294">
        <v>0</v>
      </c>
      <c r="N58" s="983">
        <f t="shared" si="1"/>
        <v>0</v>
      </c>
      <c r="P58" s="644">
        <v>301184</v>
      </c>
      <c r="Q58" s="1286" t="s">
        <v>446</v>
      </c>
      <c r="R58" s="645" t="s">
        <v>568</v>
      </c>
      <c r="S58" s="1375"/>
      <c r="T58" s="1299">
        <v>1.5720000000000001</v>
      </c>
      <c r="U58" s="1363"/>
      <c r="V58" s="1363"/>
      <c r="W58" s="1363"/>
      <c r="X58" s="1363"/>
      <c r="Z58" s="1295">
        <v>0</v>
      </c>
      <c r="AA58" s="1296">
        <v>0</v>
      </c>
    </row>
    <row r="59" spans="1:34">
      <c r="A59" s="96">
        <v>300131</v>
      </c>
      <c r="B59" s="1286" t="s">
        <v>33</v>
      </c>
      <c r="C59" s="645" t="s">
        <v>568</v>
      </c>
      <c r="D59" s="1375"/>
      <c r="E59" s="1299">
        <v>2.17</v>
      </c>
      <c r="F59" s="1398"/>
      <c r="G59" s="1397"/>
      <c r="H59" s="1396"/>
      <c r="I59" s="1372"/>
      <c r="K59" s="1293">
        <v>0</v>
      </c>
      <c r="L59" s="1294">
        <v>0</v>
      </c>
      <c r="N59" s="983">
        <f t="shared" si="1"/>
        <v>0</v>
      </c>
      <c r="P59" s="644">
        <v>301185</v>
      </c>
      <c r="Q59" s="1286" t="s">
        <v>824</v>
      </c>
      <c r="R59" s="645" t="s">
        <v>569</v>
      </c>
      <c r="S59" s="1375"/>
      <c r="T59" s="1299">
        <v>0.72899999999999998</v>
      </c>
      <c r="U59" s="1363"/>
      <c r="V59" s="1363"/>
      <c r="W59" s="1363"/>
      <c r="X59" s="1363"/>
      <c r="Z59" s="1295">
        <v>1</v>
      </c>
      <c r="AA59" s="1296">
        <v>0</v>
      </c>
    </row>
    <row r="60" spans="1:34">
      <c r="A60" s="96">
        <v>300132</v>
      </c>
      <c r="B60" s="1286" t="s">
        <v>749</v>
      </c>
      <c r="C60" s="645" t="s">
        <v>568</v>
      </c>
      <c r="D60" s="1375"/>
      <c r="E60" s="1299">
        <v>1.575</v>
      </c>
      <c r="F60" s="1398"/>
      <c r="G60" s="1397"/>
      <c r="H60" s="1396"/>
      <c r="I60" s="1372"/>
      <c r="K60" s="1293">
        <v>0</v>
      </c>
      <c r="L60" s="1294">
        <v>0</v>
      </c>
      <c r="N60" s="983">
        <f t="shared" si="1"/>
        <v>0</v>
      </c>
      <c r="P60" s="644">
        <v>301198</v>
      </c>
      <c r="Q60" s="1286" t="s">
        <v>827</v>
      </c>
      <c r="R60" s="645" t="s">
        <v>569</v>
      </c>
      <c r="S60" s="1375"/>
      <c r="T60" s="1299">
        <v>0.99099999999999999</v>
      </c>
      <c r="U60" s="1363"/>
      <c r="V60" s="1363"/>
      <c r="W60" s="1363"/>
      <c r="X60" s="1363"/>
      <c r="Z60" s="1295">
        <v>1</v>
      </c>
      <c r="AA60" s="1296">
        <v>0</v>
      </c>
    </row>
    <row r="61" spans="1:34">
      <c r="A61" s="96">
        <v>300133</v>
      </c>
      <c r="B61" s="1286" t="s">
        <v>750</v>
      </c>
      <c r="C61" s="645" t="s">
        <v>568</v>
      </c>
      <c r="D61" s="1375"/>
      <c r="E61" s="1299">
        <v>1.575</v>
      </c>
      <c r="F61" s="1398"/>
      <c r="G61" s="1397"/>
      <c r="H61" s="1396"/>
      <c r="I61" s="1372"/>
      <c r="K61" s="1293">
        <v>0</v>
      </c>
      <c r="L61" s="1294">
        <v>0</v>
      </c>
      <c r="N61" s="983">
        <f t="shared" si="1"/>
        <v>0</v>
      </c>
      <c r="P61" s="644">
        <v>301214</v>
      </c>
      <c r="Q61" s="1286" t="s">
        <v>447</v>
      </c>
      <c r="R61" s="645" t="s">
        <v>568</v>
      </c>
      <c r="S61" s="1375"/>
      <c r="T61" s="1299">
        <v>1.7330000000000001</v>
      </c>
      <c r="U61" s="1363"/>
      <c r="V61" s="1363"/>
      <c r="W61" s="1363"/>
      <c r="X61" s="1363"/>
      <c r="Z61" s="1295">
        <v>0</v>
      </c>
      <c r="AA61" s="1296">
        <v>0</v>
      </c>
    </row>
    <row r="62" spans="1:34">
      <c r="A62" s="96">
        <v>300136</v>
      </c>
      <c r="B62" s="1286" t="s">
        <v>656</v>
      </c>
      <c r="C62" s="645" t="s">
        <v>568</v>
      </c>
      <c r="D62" s="1375"/>
      <c r="E62" s="1299">
        <v>0.77500000000000002</v>
      </c>
      <c r="F62" s="1398"/>
      <c r="G62" s="1397"/>
      <c r="H62" s="1396"/>
      <c r="I62" s="1372"/>
      <c r="K62" s="1293">
        <v>0</v>
      </c>
      <c r="L62" s="1294">
        <v>0</v>
      </c>
      <c r="N62" s="983">
        <f t="shared" si="1"/>
        <v>0</v>
      </c>
      <c r="P62" s="644">
        <v>301276</v>
      </c>
      <c r="Q62" s="1286" t="s">
        <v>47</v>
      </c>
      <c r="R62" s="645" t="s">
        <v>569</v>
      </c>
      <c r="S62" s="1375"/>
      <c r="T62" s="1299">
        <v>1.3740000000000001</v>
      </c>
      <c r="U62" s="1363"/>
      <c r="V62" s="1363"/>
      <c r="W62" s="1363"/>
      <c r="X62" s="1363"/>
      <c r="Z62" s="1295">
        <v>1</v>
      </c>
      <c r="AA62" s="1296">
        <v>0</v>
      </c>
    </row>
    <row r="63" spans="1:34">
      <c r="A63" s="96">
        <v>300138</v>
      </c>
      <c r="B63" s="1286" t="s">
        <v>751</v>
      </c>
      <c r="C63" s="645" t="s">
        <v>568</v>
      </c>
      <c r="D63" s="1375"/>
      <c r="E63" s="1299">
        <v>2.157</v>
      </c>
      <c r="F63" s="1398"/>
      <c r="G63" s="1397"/>
      <c r="H63" s="1396"/>
      <c r="I63" s="1372"/>
      <c r="K63" s="1293">
        <v>0</v>
      </c>
      <c r="L63" s="1294">
        <v>0</v>
      </c>
      <c r="N63" s="983">
        <f t="shared" si="1"/>
        <v>0</v>
      </c>
      <c r="P63" s="644">
        <v>301309</v>
      </c>
      <c r="Q63" s="1286" t="s">
        <v>48</v>
      </c>
      <c r="R63" s="645" t="s">
        <v>569</v>
      </c>
      <c r="S63" s="1375"/>
      <c r="T63" s="1299">
        <v>0.99099999999999999</v>
      </c>
      <c r="U63" s="1363"/>
      <c r="V63" s="1363"/>
      <c r="W63" s="1363"/>
      <c r="X63" s="1363"/>
      <c r="Z63" s="1295">
        <v>1</v>
      </c>
      <c r="AA63" s="1296">
        <v>0</v>
      </c>
    </row>
    <row r="64" spans="1:34">
      <c r="A64" s="96">
        <v>300139</v>
      </c>
      <c r="B64" s="1286" t="s">
        <v>752</v>
      </c>
      <c r="C64" s="645" t="s">
        <v>568</v>
      </c>
      <c r="D64" s="1375"/>
      <c r="E64" s="1299">
        <v>1.8380000000000001</v>
      </c>
      <c r="F64" s="1398"/>
      <c r="G64" s="1397"/>
      <c r="H64" s="1396"/>
      <c r="I64" s="1372"/>
      <c r="K64" s="1293">
        <v>0</v>
      </c>
      <c r="L64" s="1294">
        <v>0</v>
      </c>
      <c r="N64" s="983">
        <f t="shared" si="1"/>
        <v>0</v>
      </c>
      <c r="P64" s="644">
        <v>301311</v>
      </c>
      <c r="Q64" s="1286" t="s">
        <v>448</v>
      </c>
      <c r="R64" s="645" t="s">
        <v>570</v>
      </c>
      <c r="S64" s="1375"/>
      <c r="T64" s="1299">
        <v>1.379</v>
      </c>
      <c r="U64" s="1363"/>
      <c r="V64" s="1363"/>
      <c r="W64" s="1363"/>
      <c r="X64" s="1363"/>
      <c r="Z64" s="1295">
        <v>1</v>
      </c>
      <c r="AA64" s="1296">
        <v>0</v>
      </c>
    </row>
    <row r="65" spans="1:29">
      <c r="A65" s="96">
        <v>300140</v>
      </c>
      <c r="B65" s="1286" t="s">
        <v>648</v>
      </c>
      <c r="C65" s="645" t="s">
        <v>568</v>
      </c>
      <c r="D65" s="1375"/>
      <c r="E65" s="1299">
        <v>1.343</v>
      </c>
      <c r="F65" s="1398"/>
      <c r="G65" s="1397"/>
      <c r="H65" s="1396"/>
      <c r="I65" s="1372"/>
      <c r="K65" s="1293">
        <v>0</v>
      </c>
      <c r="L65" s="1294">
        <v>0</v>
      </c>
      <c r="N65" s="983">
        <f t="shared" si="1"/>
        <v>0</v>
      </c>
      <c r="P65" s="644">
        <v>301320</v>
      </c>
      <c r="Q65" s="1286" t="s">
        <v>830</v>
      </c>
      <c r="R65" s="645" t="s">
        <v>569</v>
      </c>
      <c r="S65" s="1375"/>
      <c r="T65" s="1299">
        <v>0.78500000000000003</v>
      </c>
      <c r="U65" s="1363"/>
      <c r="V65" s="1363"/>
      <c r="W65" s="1363"/>
      <c r="X65" s="1363"/>
      <c r="Z65" s="1295">
        <v>1</v>
      </c>
      <c r="AA65" s="1296">
        <v>0</v>
      </c>
    </row>
    <row r="66" spans="1:29">
      <c r="A66" s="96">
        <v>300141</v>
      </c>
      <c r="B66" s="1286" t="s">
        <v>753</v>
      </c>
      <c r="C66" s="645" t="s">
        <v>568</v>
      </c>
      <c r="D66" s="1375"/>
      <c r="E66" s="1299">
        <v>2.399</v>
      </c>
      <c r="F66" s="1398"/>
      <c r="G66" s="1397"/>
      <c r="H66" s="1396"/>
      <c r="I66" s="1372"/>
      <c r="K66" s="1293">
        <v>0</v>
      </c>
      <c r="L66" s="1294">
        <v>0</v>
      </c>
      <c r="N66" s="983">
        <f t="shared" si="1"/>
        <v>0</v>
      </c>
      <c r="P66" s="644">
        <v>301345</v>
      </c>
      <c r="Q66" s="1286" t="s">
        <v>188</v>
      </c>
      <c r="R66" s="645" t="s">
        <v>570</v>
      </c>
      <c r="S66" s="1375"/>
      <c r="T66" s="1299">
        <v>1.113</v>
      </c>
      <c r="U66" s="1363"/>
      <c r="V66" s="1363"/>
      <c r="W66" s="1363"/>
      <c r="X66" s="1363"/>
      <c r="Z66" s="1295">
        <v>1</v>
      </c>
      <c r="AA66" s="1296">
        <v>0</v>
      </c>
    </row>
    <row r="67" spans="1:29">
      <c r="A67" s="96">
        <v>300142</v>
      </c>
      <c r="B67" s="1286" t="s">
        <v>34</v>
      </c>
      <c r="C67" s="645" t="s">
        <v>568</v>
      </c>
      <c r="D67" s="1375"/>
      <c r="E67" s="1299">
        <v>0.39700000000000002</v>
      </c>
      <c r="F67" s="1398"/>
      <c r="G67" s="1397"/>
      <c r="H67" s="1396"/>
      <c r="I67" s="1372"/>
      <c r="K67" s="1293">
        <v>0</v>
      </c>
      <c r="L67" s="1294">
        <v>0</v>
      </c>
      <c r="N67" s="983">
        <f t="shared" si="1"/>
        <v>0</v>
      </c>
      <c r="P67" s="644">
        <v>301348</v>
      </c>
      <c r="Q67" s="1286" t="s">
        <v>19</v>
      </c>
      <c r="R67" s="645" t="s">
        <v>569</v>
      </c>
      <c r="S67" s="1375"/>
      <c r="T67" s="1299">
        <v>1.264</v>
      </c>
      <c r="U67" s="1363"/>
      <c r="V67" s="1363"/>
      <c r="W67" s="1363"/>
      <c r="X67" s="1363"/>
      <c r="Z67" s="1295">
        <v>0</v>
      </c>
      <c r="AA67" s="1296">
        <v>1</v>
      </c>
    </row>
    <row r="68" spans="1:29">
      <c r="A68" s="96">
        <v>300143</v>
      </c>
      <c r="B68" s="1286" t="s">
        <v>35</v>
      </c>
      <c r="C68" s="645" t="s">
        <v>568</v>
      </c>
      <c r="D68" s="1375"/>
      <c r="E68" s="1299">
        <v>1.8380000000000001</v>
      </c>
      <c r="F68" s="1398"/>
      <c r="G68" s="1397"/>
      <c r="H68" s="1396"/>
      <c r="I68" s="1372"/>
      <c r="K68" s="1293">
        <v>0</v>
      </c>
      <c r="L68" s="1294">
        <v>0</v>
      </c>
      <c r="N68" s="983">
        <f t="shared" si="1"/>
        <v>0</v>
      </c>
      <c r="P68" s="644">
        <v>301360</v>
      </c>
      <c r="Q68" s="1286" t="s">
        <v>189</v>
      </c>
      <c r="R68" s="645" t="s">
        <v>569</v>
      </c>
      <c r="S68" s="1375"/>
      <c r="T68" s="1299">
        <v>0.76800000000000002</v>
      </c>
      <c r="U68" s="1363"/>
      <c r="V68" s="1363"/>
      <c r="W68" s="1363"/>
      <c r="X68" s="1363"/>
      <c r="Z68" s="1295">
        <v>1</v>
      </c>
      <c r="AA68" s="1296">
        <v>0</v>
      </c>
    </row>
    <row r="69" spans="1:29">
      <c r="A69" s="96">
        <v>300144</v>
      </c>
      <c r="B69" s="1286" t="s">
        <v>263</v>
      </c>
      <c r="C69" s="645" t="s">
        <v>568</v>
      </c>
      <c r="D69" s="1375"/>
      <c r="E69" s="1299">
        <v>0.72199999999999998</v>
      </c>
      <c r="F69" s="1398"/>
      <c r="G69" s="1397"/>
      <c r="H69" s="1396"/>
      <c r="I69" s="1372"/>
      <c r="K69" s="1293">
        <v>0</v>
      </c>
      <c r="L69" s="1294">
        <v>0</v>
      </c>
      <c r="N69" s="983">
        <f t="shared" si="1"/>
        <v>0</v>
      </c>
      <c r="P69" s="644">
        <v>301361</v>
      </c>
      <c r="Q69" s="1286" t="s">
        <v>49</v>
      </c>
      <c r="R69" s="645" t="s">
        <v>569</v>
      </c>
      <c r="S69" s="1375"/>
      <c r="T69" s="1299">
        <v>0.72899999999999998</v>
      </c>
      <c r="U69" s="1363"/>
      <c r="V69" s="1363"/>
      <c r="W69" s="1363"/>
      <c r="X69" s="1363"/>
      <c r="Z69" s="1295">
        <v>1</v>
      </c>
      <c r="AA69" s="1296">
        <v>0</v>
      </c>
    </row>
    <row r="70" spans="1:29">
      <c r="A70" s="96">
        <v>300145</v>
      </c>
      <c r="B70" s="1286" t="s">
        <v>754</v>
      </c>
      <c r="C70" s="645" t="s">
        <v>568</v>
      </c>
      <c r="D70" s="1375"/>
      <c r="E70" s="1299">
        <v>0.75800000000000001</v>
      </c>
      <c r="F70" s="1398"/>
      <c r="G70" s="1397"/>
      <c r="H70" s="1396"/>
      <c r="I70" s="1372"/>
      <c r="K70" s="1293">
        <v>0</v>
      </c>
      <c r="L70" s="1294">
        <v>0</v>
      </c>
      <c r="N70" s="983">
        <f t="shared" si="1"/>
        <v>0</v>
      </c>
      <c r="P70" s="644">
        <v>301368</v>
      </c>
      <c r="Q70" s="1286" t="s">
        <v>832</v>
      </c>
      <c r="R70" s="645" t="s">
        <v>568</v>
      </c>
      <c r="S70" s="1375"/>
      <c r="T70" s="1299">
        <v>1.0589999999999999</v>
      </c>
      <c r="U70" s="1363"/>
      <c r="V70" s="1363"/>
      <c r="W70" s="1363"/>
      <c r="X70" s="1363"/>
      <c r="Z70" s="1295">
        <v>0</v>
      </c>
      <c r="AA70" s="1296">
        <v>0</v>
      </c>
    </row>
    <row r="71" spans="1:29">
      <c r="A71" s="96">
        <v>300146</v>
      </c>
      <c r="B71" s="1286" t="s">
        <v>264</v>
      </c>
      <c r="C71" s="645" t="s">
        <v>568</v>
      </c>
      <c r="D71" s="1375"/>
      <c r="E71" s="1299">
        <v>0.75800000000000001</v>
      </c>
      <c r="F71" s="1398"/>
      <c r="G71" s="1397"/>
      <c r="H71" s="1396"/>
      <c r="I71" s="1372"/>
      <c r="K71" s="1293">
        <v>0</v>
      </c>
      <c r="L71" s="1294">
        <v>0</v>
      </c>
      <c r="N71" s="983">
        <f t="shared" si="1"/>
        <v>0</v>
      </c>
      <c r="P71" s="644">
        <v>301375</v>
      </c>
      <c r="Q71" s="98" t="s">
        <v>846</v>
      </c>
      <c r="R71" s="645" t="s">
        <v>570</v>
      </c>
      <c r="S71" s="1375"/>
      <c r="T71" s="1299">
        <v>1.0660000000000001</v>
      </c>
      <c r="U71" s="1363"/>
      <c r="V71" s="1363"/>
      <c r="W71" s="1363"/>
      <c r="X71" s="1363"/>
      <c r="Z71" s="1295">
        <v>1</v>
      </c>
      <c r="AA71" s="1296">
        <v>0</v>
      </c>
      <c r="AC71" s="995"/>
    </row>
    <row r="72" spans="1:29">
      <c r="A72" s="96">
        <v>300147</v>
      </c>
      <c r="B72" s="1286" t="s">
        <v>755</v>
      </c>
      <c r="C72" s="645" t="s">
        <v>568</v>
      </c>
      <c r="D72" s="1375"/>
      <c r="E72" s="1299">
        <v>0.75800000000000001</v>
      </c>
      <c r="F72" s="1398"/>
      <c r="G72" s="1397"/>
      <c r="H72" s="1396"/>
      <c r="I72" s="1372"/>
      <c r="K72" s="1293">
        <v>0</v>
      </c>
      <c r="L72" s="1294">
        <v>0</v>
      </c>
      <c r="N72" s="983">
        <f t="shared" si="1"/>
        <v>0</v>
      </c>
      <c r="P72" s="644">
        <v>301391</v>
      </c>
      <c r="Q72" s="98" t="s">
        <v>658</v>
      </c>
      <c r="R72" s="645" t="s">
        <v>569</v>
      </c>
      <c r="S72" s="1375"/>
      <c r="T72" s="1299">
        <v>0.72899999999999998</v>
      </c>
      <c r="U72" s="1363"/>
      <c r="V72" s="1363"/>
      <c r="W72" s="1363"/>
      <c r="X72" s="1363"/>
      <c r="Z72" s="1295">
        <v>0</v>
      </c>
      <c r="AA72" s="1296">
        <v>1</v>
      </c>
    </row>
    <row r="73" spans="1:29">
      <c r="A73" s="96">
        <v>300150</v>
      </c>
      <c r="B73" s="1286" t="s">
        <v>756</v>
      </c>
      <c r="C73" s="645" t="s">
        <v>1196</v>
      </c>
      <c r="D73" s="1375"/>
      <c r="E73" s="1299">
        <v>1.256</v>
      </c>
      <c r="F73" s="1398"/>
      <c r="G73" s="1397"/>
      <c r="H73" s="1396"/>
      <c r="I73" s="1372"/>
      <c r="K73" s="1293">
        <v>1</v>
      </c>
      <c r="L73" s="1294">
        <v>0</v>
      </c>
      <c r="N73" s="983">
        <f t="shared" si="1"/>
        <v>0</v>
      </c>
      <c r="P73" s="644">
        <v>301392</v>
      </c>
      <c r="Q73" s="98" t="s">
        <v>847</v>
      </c>
      <c r="R73" s="645" t="s">
        <v>570</v>
      </c>
      <c r="S73" s="1375"/>
      <c r="T73" s="1299">
        <v>1.212</v>
      </c>
      <c r="U73" s="1363"/>
      <c r="V73" s="1363"/>
      <c r="W73" s="1363"/>
      <c r="X73" s="1363"/>
      <c r="Z73" s="1295">
        <v>1</v>
      </c>
      <c r="AA73" s="1296">
        <v>0</v>
      </c>
    </row>
    <row r="74" spans="1:29">
      <c r="A74" s="96">
        <v>300151</v>
      </c>
      <c r="B74" s="1286" t="s">
        <v>757</v>
      </c>
      <c r="C74" s="645" t="s">
        <v>1196</v>
      </c>
      <c r="D74" s="1375"/>
      <c r="E74" s="1299">
        <v>1.0509999999999999</v>
      </c>
      <c r="F74" s="1398"/>
      <c r="G74" s="1397"/>
      <c r="H74" s="1396"/>
      <c r="I74" s="1372"/>
      <c r="K74" s="1293">
        <v>1</v>
      </c>
      <c r="L74" s="1294">
        <v>0</v>
      </c>
      <c r="N74" s="983">
        <f t="shared" ref="N74:N105" si="2">IF(C74="local distribution point",1,0)</f>
        <v>0</v>
      </c>
      <c r="P74" s="646">
        <v>301397</v>
      </c>
      <c r="Q74" s="1286" t="s">
        <v>190</v>
      </c>
      <c r="R74" s="645" t="s">
        <v>569</v>
      </c>
      <c r="S74" s="1375"/>
      <c r="T74" s="1299">
        <v>0.99099999999999999</v>
      </c>
      <c r="U74" s="1363"/>
      <c r="V74" s="1363"/>
      <c r="W74" s="1363"/>
      <c r="X74" s="1363"/>
      <c r="Z74" s="1295">
        <v>1</v>
      </c>
      <c r="AA74" s="1296">
        <v>0</v>
      </c>
    </row>
    <row r="75" spans="1:29">
      <c r="A75" s="96">
        <v>300153</v>
      </c>
      <c r="B75" s="1286" t="s">
        <v>68</v>
      </c>
      <c r="C75" s="645" t="s">
        <v>1196</v>
      </c>
      <c r="D75" s="1375"/>
      <c r="E75" s="1299">
        <v>1.107</v>
      </c>
      <c r="F75" s="1398"/>
      <c r="G75" s="1397"/>
      <c r="H75" s="1396"/>
      <c r="I75" s="1372"/>
      <c r="K75" s="1293">
        <v>1</v>
      </c>
      <c r="L75" s="1294">
        <v>0</v>
      </c>
      <c r="N75" s="983">
        <f t="shared" si="2"/>
        <v>0</v>
      </c>
      <c r="P75" s="644">
        <v>301400</v>
      </c>
      <c r="Q75" s="647" t="s">
        <v>191</v>
      </c>
      <c r="R75" s="645" t="s">
        <v>569</v>
      </c>
      <c r="S75" s="1375"/>
      <c r="T75" s="1299">
        <v>0.76800000000000002</v>
      </c>
      <c r="U75" s="1363"/>
      <c r="V75" s="1363"/>
      <c r="W75" s="1363"/>
      <c r="X75" s="1363"/>
      <c r="Z75" s="1295">
        <v>1</v>
      </c>
      <c r="AA75" s="1296">
        <v>0</v>
      </c>
    </row>
    <row r="76" spans="1:29">
      <c r="A76" s="96">
        <v>300161</v>
      </c>
      <c r="B76" s="1286" t="s">
        <v>265</v>
      </c>
      <c r="C76" s="645" t="s">
        <v>1195</v>
      </c>
      <c r="D76" s="1375"/>
      <c r="E76" s="1299">
        <v>0.28000000000000003</v>
      </c>
      <c r="F76" s="1398"/>
      <c r="G76" s="1397"/>
      <c r="H76" s="1396"/>
      <c r="I76" s="1372"/>
      <c r="K76" s="1293">
        <v>0</v>
      </c>
      <c r="L76" s="1294">
        <v>0</v>
      </c>
      <c r="N76" s="983">
        <f t="shared" si="2"/>
        <v>1</v>
      </c>
      <c r="P76" s="648">
        <v>301401</v>
      </c>
      <c r="Q76" s="649" t="s">
        <v>534</v>
      </c>
      <c r="R76" s="645" t="s">
        <v>569</v>
      </c>
      <c r="S76" s="1375"/>
      <c r="T76" s="1299">
        <v>0.76800000000000002</v>
      </c>
      <c r="U76" s="1363"/>
      <c r="V76" s="1363"/>
      <c r="W76" s="1363"/>
      <c r="X76" s="1363"/>
      <c r="Z76" s="1295">
        <v>1</v>
      </c>
      <c r="AA76" s="1296">
        <v>0</v>
      </c>
    </row>
    <row r="77" spans="1:29">
      <c r="A77" s="96">
        <v>300162</v>
      </c>
      <c r="B77" s="1286" t="s">
        <v>266</v>
      </c>
      <c r="C77" s="645" t="s">
        <v>1195</v>
      </c>
      <c r="D77" s="1375"/>
      <c r="E77" s="1299">
        <v>2.0230000000000001</v>
      </c>
      <c r="F77" s="1398"/>
      <c r="G77" s="1397"/>
      <c r="H77" s="1396"/>
      <c r="I77" s="1372"/>
      <c r="K77" s="1293">
        <v>0</v>
      </c>
      <c r="L77" s="1294">
        <v>0</v>
      </c>
      <c r="N77" s="983">
        <f t="shared" si="2"/>
        <v>1</v>
      </c>
      <c r="P77" s="644">
        <v>301452</v>
      </c>
      <c r="Q77" s="98" t="s">
        <v>535</v>
      </c>
      <c r="R77" s="645" t="s">
        <v>570</v>
      </c>
      <c r="S77" s="1375"/>
      <c r="T77" s="1299">
        <v>1.784</v>
      </c>
      <c r="U77" s="1376"/>
      <c r="V77" s="1363"/>
      <c r="W77" s="1363"/>
      <c r="X77" s="1363"/>
      <c r="Z77" s="1295">
        <v>1</v>
      </c>
      <c r="AA77" s="1296">
        <v>0</v>
      </c>
    </row>
    <row r="78" spans="1:29">
      <c r="A78" s="96">
        <v>300163</v>
      </c>
      <c r="B78" s="1286" t="s">
        <v>69</v>
      </c>
      <c r="C78" s="645" t="s">
        <v>1195</v>
      </c>
      <c r="D78" s="1375"/>
      <c r="E78" s="1299">
        <v>0.83899999999999997</v>
      </c>
      <c r="F78" s="1398"/>
      <c r="G78" s="1397"/>
      <c r="H78" s="1396"/>
      <c r="I78" s="1372"/>
      <c r="K78" s="1293">
        <v>0</v>
      </c>
      <c r="L78" s="1294">
        <v>0</v>
      </c>
      <c r="N78" s="983">
        <f t="shared" si="2"/>
        <v>1</v>
      </c>
      <c r="P78" s="644">
        <v>301453</v>
      </c>
      <c r="Q78" s="1286" t="s">
        <v>546</v>
      </c>
      <c r="R78" s="645" t="s">
        <v>569</v>
      </c>
      <c r="S78" s="1375"/>
      <c r="T78" s="1299">
        <v>0.72899999999999998</v>
      </c>
      <c r="U78" s="1363"/>
      <c r="V78" s="1363"/>
      <c r="W78" s="1363"/>
      <c r="X78" s="1363"/>
      <c r="Z78" s="1295">
        <v>1</v>
      </c>
      <c r="AA78" s="1296">
        <v>0</v>
      </c>
    </row>
    <row r="79" spans="1:29">
      <c r="A79" s="96">
        <v>300164</v>
      </c>
      <c r="B79" s="1286" t="s">
        <v>267</v>
      </c>
      <c r="C79" s="645" t="s">
        <v>1195</v>
      </c>
      <c r="D79" s="1375"/>
      <c r="E79" s="1299">
        <v>0.83899999999999997</v>
      </c>
      <c r="F79" s="1398"/>
      <c r="G79" s="1397"/>
      <c r="H79" s="1396"/>
      <c r="I79" s="1372"/>
      <c r="K79" s="1293">
        <v>0</v>
      </c>
      <c r="L79" s="1294">
        <v>0</v>
      </c>
      <c r="N79" s="983">
        <f t="shared" si="2"/>
        <v>1</v>
      </c>
      <c r="P79" s="644">
        <v>301454</v>
      </c>
      <c r="Q79" s="1286" t="s">
        <v>646</v>
      </c>
      <c r="R79" s="645" t="s">
        <v>570</v>
      </c>
      <c r="S79" s="1375"/>
      <c r="T79" s="1299">
        <v>1.1080000000000001</v>
      </c>
      <c r="U79" s="1363"/>
      <c r="V79" s="1363"/>
      <c r="W79" s="1363"/>
      <c r="X79" s="1363"/>
      <c r="Z79" s="1295">
        <v>0</v>
      </c>
      <c r="AA79" s="1296">
        <v>1</v>
      </c>
    </row>
    <row r="80" spans="1:29">
      <c r="A80" s="96">
        <v>300167</v>
      </c>
      <c r="B80" s="1286" t="s">
        <v>70</v>
      </c>
      <c r="C80" s="645" t="s">
        <v>1196</v>
      </c>
      <c r="D80" s="1375"/>
      <c r="E80" s="1299">
        <v>1.2190000000000001</v>
      </c>
      <c r="F80" s="1398"/>
      <c r="G80" s="1397"/>
      <c r="H80" s="1396"/>
      <c r="I80" s="1372"/>
      <c r="K80" s="1293">
        <v>1</v>
      </c>
      <c r="L80" s="1294">
        <v>0</v>
      </c>
      <c r="N80" s="983">
        <f t="shared" si="2"/>
        <v>0</v>
      </c>
      <c r="P80" s="644">
        <v>301461</v>
      </c>
      <c r="Q80" s="1286" t="s">
        <v>1159</v>
      </c>
      <c r="R80" s="645" t="s">
        <v>570</v>
      </c>
      <c r="S80" s="1375"/>
      <c r="T80" s="1299">
        <v>1.103</v>
      </c>
      <c r="U80" s="1363"/>
      <c r="V80" s="1363"/>
      <c r="W80" s="1363"/>
      <c r="X80" s="1363"/>
      <c r="Z80" s="1295">
        <v>1</v>
      </c>
      <c r="AA80" s="1296">
        <v>0</v>
      </c>
    </row>
    <row r="81" spans="1:27">
      <c r="A81" s="96">
        <v>300168</v>
      </c>
      <c r="B81" s="1286" t="s">
        <v>268</v>
      </c>
      <c r="C81" s="645" t="s">
        <v>1195</v>
      </c>
      <c r="D81" s="1375"/>
      <c r="E81" s="1299">
        <v>0.35899999999999999</v>
      </c>
      <c r="F81" s="1398"/>
      <c r="G81" s="1397"/>
      <c r="H81" s="1396"/>
      <c r="I81" s="1372"/>
      <c r="K81" s="1293">
        <v>0</v>
      </c>
      <c r="L81" s="1294">
        <v>0</v>
      </c>
      <c r="N81" s="983">
        <f t="shared" si="2"/>
        <v>1</v>
      </c>
      <c r="P81" s="644">
        <v>301468</v>
      </c>
      <c r="Q81" s="1286" t="s">
        <v>848</v>
      </c>
      <c r="R81" s="645" t="s">
        <v>570</v>
      </c>
      <c r="S81" s="1375"/>
      <c r="T81" s="1299"/>
      <c r="U81" s="1363"/>
      <c r="V81" s="1363"/>
      <c r="W81" s="1363"/>
      <c r="X81" s="1363"/>
      <c r="Z81" s="1297">
        <v>0</v>
      </c>
      <c r="AA81" s="1296">
        <v>1</v>
      </c>
    </row>
    <row r="82" spans="1:27">
      <c r="A82" s="96">
        <v>300171</v>
      </c>
      <c r="B82" s="1286" t="s">
        <v>71</v>
      </c>
      <c r="C82" s="645" t="s">
        <v>1196</v>
      </c>
      <c r="D82" s="1375"/>
      <c r="E82" s="1299">
        <v>1.661</v>
      </c>
      <c r="F82" s="1398"/>
      <c r="G82" s="1397"/>
      <c r="H82" s="1396"/>
      <c r="I82" s="1372"/>
      <c r="K82" s="1293">
        <v>1</v>
      </c>
      <c r="L82" s="1294">
        <v>0</v>
      </c>
      <c r="N82" s="983">
        <f t="shared" si="2"/>
        <v>0</v>
      </c>
      <c r="X82" s="210"/>
      <c r="Z82" s="334"/>
      <c r="AA82" s="334"/>
    </row>
    <row r="83" spans="1:27">
      <c r="A83" s="96">
        <v>300178</v>
      </c>
      <c r="B83" s="1286" t="s">
        <v>72</v>
      </c>
      <c r="C83" s="645" t="s">
        <v>1195</v>
      </c>
      <c r="D83" s="1375"/>
      <c r="E83" s="1299">
        <v>1.234</v>
      </c>
      <c r="F83" s="1398"/>
      <c r="G83" s="1397"/>
      <c r="H83" s="1396"/>
      <c r="I83" s="1372"/>
      <c r="K83" s="1293">
        <v>0</v>
      </c>
      <c r="L83" s="1294">
        <v>0</v>
      </c>
      <c r="N83" s="983">
        <f t="shared" si="2"/>
        <v>1</v>
      </c>
      <c r="Z83" s="334"/>
      <c r="AA83" s="334"/>
    </row>
    <row r="84" spans="1:27">
      <c r="A84" s="96">
        <v>300179</v>
      </c>
      <c r="B84" s="1286" t="s">
        <v>73</v>
      </c>
      <c r="C84" s="645" t="s">
        <v>1196</v>
      </c>
      <c r="D84" s="1375"/>
      <c r="E84" s="1299">
        <v>1.4239999999999999</v>
      </c>
      <c r="F84" s="1398"/>
      <c r="G84" s="1397"/>
      <c r="H84" s="1396"/>
      <c r="I84" s="1372"/>
      <c r="K84" s="1293">
        <v>1</v>
      </c>
      <c r="L84" s="1294">
        <v>0</v>
      </c>
      <c r="N84" s="983">
        <f t="shared" si="2"/>
        <v>0</v>
      </c>
      <c r="P84" s="593"/>
      <c r="Q84" s="594"/>
      <c r="R84" s="596"/>
      <c r="Z84" s="334"/>
      <c r="AA84" s="334"/>
    </row>
    <row r="85" spans="1:27">
      <c r="A85" s="96">
        <v>300183</v>
      </c>
      <c r="B85" s="1286" t="s">
        <v>29</v>
      </c>
      <c r="C85" s="645" t="s">
        <v>1196</v>
      </c>
      <c r="D85" s="1375"/>
      <c r="E85" s="1299">
        <v>0.71599999999999997</v>
      </c>
      <c r="F85" s="1398"/>
      <c r="G85" s="1397"/>
      <c r="H85" s="1396"/>
      <c r="I85" s="1372"/>
      <c r="K85" s="1293">
        <v>1</v>
      </c>
      <c r="L85" s="1294">
        <v>0</v>
      </c>
      <c r="N85" s="983">
        <f t="shared" si="2"/>
        <v>0</v>
      </c>
      <c r="P85" s="593"/>
      <c r="Q85" s="594"/>
      <c r="R85" s="596"/>
      <c r="Z85" s="334"/>
      <c r="AA85" s="334"/>
    </row>
    <row r="86" spans="1:27">
      <c r="A86" s="96">
        <v>300189</v>
      </c>
      <c r="B86" s="1286" t="s">
        <v>74</v>
      </c>
      <c r="C86" s="645" t="s">
        <v>1196</v>
      </c>
      <c r="D86" s="1375"/>
      <c r="E86" s="1299">
        <v>1.34</v>
      </c>
      <c r="F86" s="1398"/>
      <c r="G86" s="1397"/>
      <c r="H86" s="1396"/>
      <c r="I86" s="1372"/>
      <c r="K86" s="1293">
        <v>1</v>
      </c>
      <c r="L86" s="1294">
        <v>0</v>
      </c>
      <c r="N86" s="983">
        <f t="shared" si="2"/>
        <v>0</v>
      </c>
      <c r="P86" s="593"/>
      <c r="Q86" s="594"/>
      <c r="R86" s="596"/>
      <c r="S86" s="596"/>
      <c r="Z86" s="334"/>
      <c r="AA86" s="334"/>
    </row>
    <row r="87" spans="1:27">
      <c r="A87" s="96">
        <v>300191</v>
      </c>
      <c r="B87" s="1286" t="s">
        <v>75</v>
      </c>
      <c r="C87" s="645" t="s">
        <v>1195</v>
      </c>
      <c r="D87" s="1375"/>
      <c r="E87" s="1299">
        <v>1.093</v>
      </c>
      <c r="F87" s="1398"/>
      <c r="G87" s="1397"/>
      <c r="H87" s="1396"/>
      <c r="I87" s="1372"/>
      <c r="K87" s="1293">
        <v>0</v>
      </c>
      <c r="L87" s="1294">
        <v>0</v>
      </c>
      <c r="N87" s="983">
        <f t="shared" si="2"/>
        <v>1</v>
      </c>
      <c r="P87" s="593"/>
      <c r="Q87" s="594"/>
      <c r="R87" s="596"/>
      <c r="S87" s="596"/>
      <c r="Z87" s="334"/>
      <c r="AA87" s="334"/>
    </row>
    <row r="88" spans="1:27">
      <c r="A88" s="96">
        <v>300192</v>
      </c>
      <c r="B88" s="1286" t="s">
        <v>758</v>
      </c>
      <c r="C88" s="645" t="s">
        <v>1196</v>
      </c>
      <c r="D88" s="1375"/>
      <c r="E88" s="1299">
        <v>0.36399999999999999</v>
      </c>
      <c r="F88" s="1398"/>
      <c r="G88" s="1397"/>
      <c r="H88" s="1396"/>
      <c r="I88" s="1372"/>
      <c r="K88" s="1293">
        <v>1</v>
      </c>
      <c r="L88" s="1294">
        <v>0</v>
      </c>
      <c r="N88" s="983">
        <f t="shared" si="2"/>
        <v>0</v>
      </c>
      <c r="P88" s="593"/>
      <c r="Q88" s="594"/>
      <c r="R88" s="596"/>
      <c r="S88" s="596"/>
      <c r="Z88" s="334"/>
      <c r="AA88" s="334"/>
    </row>
    <row r="89" spans="1:27">
      <c r="A89" s="96">
        <v>300193</v>
      </c>
      <c r="B89" s="1286" t="s">
        <v>76</v>
      </c>
      <c r="C89" s="645" t="s">
        <v>1195</v>
      </c>
      <c r="D89" s="1375"/>
      <c r="E89" s="1299">
        <v>1.234</v>
      </c>
      <c r="F89" s="1398"/>
      <c r="G89" s="1397"/>
      <c r="H89" s="1396"/>
      <c r="I89" s="1372"/>
      <c r="K89" s="1293">
        <v>0</v>
      </c>
      <c r="L89" s="1294">
        <v>0</v>
      </c>
      <c r="N89" s="983">
        <f t="shared" si="2"/>
        <v>1</v>
      </c>
      <c r="P89" s="593"/>
      <c r="Q89" s="594"/>
      <c r="R89" s="596"/>
      <c r="S89" s="596"/>
      <c r="Z89" s="334"/>
      <c r="AA89" s="334"/>
    </row>
    <row r="90" spans="1:27">
      <c r="A90" s="96">
        <v>300196</v>
      </c>
      <c r="B90" s="1286" t="s">
        <v>759</v>
      </c>
      <c r="C90" s="645" t="s">
        <v>1196</v>
      </c>
      <c r="D90" s="1375"/>
      <c r="E90" s="1299">
        <v>1.2989999999999999</v>
      </c>
      <c r="F90" s="1398"/>
      <c r="G90" s="1397"/>
      <c r="H90" s="1396"/>
      <c r="I90" s="1372"/>
      <c r="K90" s="1293">
        <v>1</v>
      </c>
      <c r="L90" s="1294">
        <v>0</v>
      </c>
      <c r="N90" s="983">
        <f t="shared" si="2"/>
        <v>0</v>
      </c>
      <c r="P90" s="593"/>
      <c r="Q90" s="594"/>
      <c r="R90" s="596"/>
      <c r="S90" s="596"/>
      <c r="Z90" s="334"/>
      <c r="AA90" s="334"/>
    </row>
    <row r="91" spans="1:27">
      <c r="A91" s="96">
        <v>300197</v>
      </c>
      <c r="B91" s="1286" t="s">
        <v>30</v>
      </c>
      <c r="C91" s="645" t="s">
        <v>1196</v>
      </c>
      <c r="D91" s="1375"/>
      <c r="E91" s="1299">
        <v>1.04</v>
      </c>
      <c r="F91" s="1398"/>
      <c r="G91" s="1397"/>
      <c r="H91" s="1396"/>
      <c r="I91" s="1372"/>
      <c r="K91" s="1293">
        <v>1</v>
      </c>
      <c r="L91" s="1294">
        <v>0</v>
      </c>
      <c r="N91" s="983">
        <f t="shared" si="2"/>
        <v>0</v>
      </c>
      <c r="P91" s="593"/>
      <c r="Q91" s="594"/>
      <c r="R91" s="596"/>
      <c r="S91" s="596"/>
      <c r="Z91" s="334"/>
      <c r="AA91" s="334"/>
    </row>
    <row r="92" spans="1:27">
      <c r="A92" s="96">
        <v>300200</v>
      </c>
      <c r="B92" s="1286" t="s">
        <v>31</v>
      </c>
      <c r="C92" s="645" t="s">
        <v>1196</v>
      </c>
      <c r="D92" s="1375"/>
      <c r="E92" s="1299">
        <v>0.84899999999999998</v>
      </c>
      <c r="F92" s="1398"/>
      <c r="G92" s="1397"/>
      <c r="H92" s="1396"/>
      <c r="I92" s="1372"/>
      <c r="K92" s="1293">
        <v>1</v>
      </c>
      <c r="L92" s="1294">
        <v>0</v>
      </c>
      <c r="N92" s="983">
        <f t="shared" si="2"/>
        <v>0</v>
      </c>
      <c r="P92" s="593"/>
      <c r="Q92" s="594"/>
      <c r="R92" s="596"/>
      <c r="S92" s="596"/>
      <c r="Z92" s="334"/>
      <c r="AA92" s="334"/>
    </row>
    <row r="93" spans="1:27">
      <c r="A93" s="96">
        <v>300201</v>
      </c>
      <c r="B93" s="1286" t="s">
        <v>1198</v>
      </c>
      <c r="C93" s="645" t="s">
        <v>1196</v>
      </c>
      <c r="D93" s="1375"/>
      <c r="E93" s="1299">
        <v>0.93400000000000005</v>
      </c>
      <c r="F93" s="1398"/>
      <c r="G93" s="1397"/>
      <c r="H93" s="1396"/>
      <c r="I93" s="1372"/>
      <c r="K93" s="1293">
        <v>1</v>
      </c>
      <c r="L93" s="1294">
        <v>0</v>
      </c>
      <c r="N93" s="983">
        <f t="shared" si="2"/>
        <v>0</v>
      </c>
      <c r="P93" s="593"/>
      <c r="Q93" s="594"/>
      <c r="R93" s="596"/>
      <c r="S93" s="596"/>
      <c r="Z93" s="334"/>
      <c r="AA93" s="334"/>
    </row>
    <row r="94" spans="1:27">
      <c r="A94" s="96">
        <v>300203</v>
      </c>
      <c r="B94" s="1286" t="s">
        <v>77</v>
      </c>
      <c r="C94" s="645" t="s">
        <v>1196</v>
      </c>
      <c r="D94" s="1375"/>
      <c r="E94" s="1299">
        <v>0.36399999999999999</v>
      </c>
      <c r="F94" s="1398"/>
      <c r="G94" s="1397"/>
      <c r="H94" s="1396"/>
      <c r="I94" s="1372"/>
      <c r="K94" s="1293">
        <v>1</v>
      </c>
      <c r="L94" s="1294">
        <v>0</v>
      </c>
      <c r="N94" s="983">
        <f t="shared" si="2"/>
        <v>0</v>
      </c>
      <c r="P94" s="593"/>
      <c r="Q94" s="594"/>
      <c r="R94" s="596"/>
      <c r="S94" s="596"/>
      <c r="Z94" s="334"/>
      <c r="AA94" s="334"/>
    </row>
    <row r="95" spans="1:27">
      <c r="A95" s="96">
        <v>300205</v>
      </c>
      <c r="B95" s="1286" t="s">
        <v>269</v>
      </c>
      <c r="C95" s="645" t="s">
        <v>1196</v>
      </c>
      <c r="D95" s="1375"/>
      <c r="E95" s="1299">
        <v>1.2989999999999999</v>
      </c>
      <c r="F95" s="1398"/>
      <c r="G95" s="1397"/>
      <c r="H95" s="1396"/>
      <c r="I95" s="1372"/>
      <c r="K95" s="1293">
        <v>1</v>
      </c>
      <c r="L95" s="1294">
        <v>0</v>
      </c>
      <c r="N95" s="983">
        <f t="shared" si="2"/>
        <v>0</v>
      </c>
      <c r="P95" s="593"/>
      <c r="Q95" s="594"/>
      <c r="R95" s="596"/>
      <c r="S95" s="596"/>
      <c r="Z95" s="334"/>
      <c r="AA95" s="334"/>
    </row>
    <row r="96" spans="1:27">
      <c r="A96" s="96">
        <v>300210</v>
      </c>
      <c r="B96" s="1286" t="s">
        <v>78</v>
      </c>
      <c r="C96" s="645" t="s">
        <v>1196</v>
      </c>
      <c r="D96" s="1375"/>
      <c r="E96" s="1299">
        <v>1.107</v>
      </c>
      <c r="F96" s="1398"/>
      <c r="G96" s="1397"/>
      <c r="H96" s="1396"/>
      <c r="I96" s="1372"/>
      <c r="K96" s="1293">
        <v>1</v>
      </c>
      <c r="L96" s="1294">
        <v>0</v>
      </c>
      <c r="N96" s="983">
        <f t="shared" si="2"/>
        <v>0</v>
      </c>
      <c r="P96" s="996"/>
      <c r="Q96" s="594"/>
      <c r="R96" s="596"/>
      <c r="S96" s="596"/>
      <c r="Z96" s="334"/>
      <c r="AA96" s="334"/>
    </row>
    <row r="97" spans="1:27">
      <c r="A97" s="96">
        <v>300216</v>
      </c>
      <c r="B97" s="1286" t="s">
        <v>79</v>
      </c>
      <c r="C97" s="645" t="s">
        <v>1196</v>
      </c>
      <c r="D97" s="1375"/>
      <c r="E97" s="1299">
        <v>1.3740000000000001</v>
      </c>
      <c r="F97" s="1398"/>
      <c r="G97" s="1397"/>
      <c r="H97" s="1396"/>
      <c r="I97" s="1372"/>
      <c r="K97" s="1293">
        <v>1</v>
      </c>
      <c r="L97" s="1294">
        <v>0</v>
      </c>
      <c r="N97" s="983">
        <f t="shared" si="2"/>
        <v>0</v>
      </c>
      <c r="P97" s="593"/>
      <c r="Q97" s="594"/>
      <c r="R97" s="596"/>
      <c r="S97" s="596"/>
      <c r="Z97" s="334"/>
      <c r="AA97" s="334"/>
    </row>
    <row r="98" spans="1:27">
      <c r="A98" s="96">
        <v>300217</v>
      </c>
      <c r="B98" s="1286" t="s">
        <v>270</v>
      </c>
      <c r="C98" s="645" t="s">
        <v>1195</v>
      </c>
      <c r="D98" s="1375"/>
      <c r="E98" s="1299">
        <v>0.85199999999999998</v>
      </c>
      <c r="F98" s="1398"/>
      <c r="G98" s="1397"/>
      <c r="H98" s="1396"/>
      <c r="I98" s="1372"/>
      <c r="K98" s="1293">
        <v>0</v>
      </c>
      <c r="L98" s="1294">
        <v>0</v>
      </c>
      <c r="N98" s="983">
        <f t="shared" si="2"/>
        <v>1</v>
      </c>
      <c r="P98" s="593"/>
      <c r="Q98" s="594"/>
      <c r="R98" s="596"/>
      <c r="S98" s="596"/>
      <c r="Z98" s="334"/>
      <c r="AA98" s="334"/>
    </row>
    <row r="99" spans="1:27">
      <c r="A99" s="96">
        <v>300220</v>
      </c>
      <c r="B99" s="1286" t="s">
        <v>649</v>
      </c>
      <c r="C99" s="645" t="s">
        <v>1196</v>
      </c>
      <c r="D99" s="1375"/>
      <c r="E99" s="1299">
        <v>1.7450000000000001</v>
      </c>
      <c r="F99" s="1398"/>
      <c r="G99" s="1397"/>
      <c r="H99" s="1396"/>
      <c r="I99" s="1372"/>
      <c r="K99" s="1293">
        <v>1</v>
      </c>
      <c r="L99" s="1294">
        <v>0</v>
      </c>
      <c r="N99" s="983">
        <f t="shared" si="2"/>
        <v>0</v>
      </c>
      <c r="P99" s="593"/>
      <c r="Q99" s="594"/>
      <c r="R99" s="596"/>
      <c r="S99" s="596"/>
      <c r="Z99" s="334"/>
      <c r="AA99" s="334"/>
    </row>
    <row r="100" spans="1:27">
      <c r="A100" s="96">
        <v>300221</v>
      </c>
      <c r="B100" s="1286" t="s">
        <v>32</v>
      </c>
      <c r="C100" s="645" t="s">
        <v>1196</v>
      </c>
      <c r="D100" s="1375"/>
      <c r="E100" s="1299">
        <v>1.4390000000000001</v>
      </c>
      <c r="F100" s="1398"/>
      <c r="G100" s="1397"/>
      <c r="H100" s="1396"/>
      <c r="I100" s="1372"/>
      <c r="K100" s="1293">
        <v>1</v>
      </c>
      <c r="L100" s="1294">
        <v>0</v>
      </c>
      <c r="N100" s="983">
        <f t="shared" si="2"/>
        <v>0</v>
      </c>
      <c r="P100" s="593"/>
      <c r="Q100" s="594"/>
      <c r="R100" s="596"/>
      <c r="S100" s="596"/>
      <c r="Z100" s="334"/>
      <c r="AA100" s="334"/>
    </row>
    <row r="101" spans="1:27">
      <c r="A101" s="96">
        <v>300222</v>
      </c>
      <c r="B101" s="1286" t="s">
        <v>80</v>
      </c>
      <c r="C101" s="645" t="s">
        <v>1195</v>
      </c>
      <c r="D101" s="1375"/>
      <c r="E101" s="1299">
        <v>1.369</v>
      </c>
      <c r="F101" s="1398"/>
      <c r="G101" s="1397"/>
      <c r="H101" s="1396"/>
      <c r="I101" s="1372"/>
      <c r="K101" s="1293">
        <v>0</v>
      </c>
      <c r="L101" s="1294">
        <v>0</v>
      </c>
      <c r="N101" s="983">
        <f t="shared" si="2"/>
        <v>1</v>
      </c>
      <c r="P101" s="593"/>
      <c r="Q101" s="594"/>
      <c r="R101" s="596"/>
      <c r="S101" s="596"/>
      <c r="Z101" s="334"/>
      <c r="AA101" s="334"/>
    </row>
    <row r="102" spans="1:27">
      <c r="A102" s="96">
        <v>300223</v>
      </c>
      <c r="B102" s="1286" t="s">
        <v>271</v>
      </c>
      <c r="C102" s="645" t="s">
        <v>1196</v>
      </c>
      <c r="D102" s="1375"/>
      <c r="E102" s="1299">
        <v>1.21</v>
      </c>
      <c r="F102" s="1398"/>
      <c r="G102" s="1397"/>
      <c r="H102" s="1396"/>
      <c r="I102" s="1372"/>
      <c r="K102" s="1293">
        <v>1</v>
      </c>
      <c r="L102" s="1294">
        <v>0</v>
      </c>
      <c r="N102" s="983">
        <f t="shared" si="2"/>
        <v>0</v>
      </c>
      <c r="P102" s="593"/>
      <c r="Q102" s="594"/>
      <c r="R102" s="596"/>
      <c r="S102" s="596"/>
      <c r="Z102" s="334"/>
      <c r="AA102" s="334"/>
    </row>
    <row r="103" spans="1:27">
      <c r="A103" s="96">
        <v>300225</v>
      </c>
      <c r="B103" s="1286" t="s">
        <v>81</v>
      </c>
      <c r="C103" s="645" t="s">
        <v>1196</v>
      </c>
      <c r="D103" s="1375"/>
      <c r="E103" s="1299">
        <v>1.3859999999999999</v>
      </c>
      <c r="F103" s="1398"/>
      <c r="G103" s="1397"/>
      <c r="H103" s="1396"/>
      <c r="I103" s="1372"/>
      <c r="K103" s="1293">
        <v>1</v>
      </c>
      <c r="L103" s="1294">
        <v>0</v>
      </c>
      <c r="N103" s="983">
        <f t="shared" si="2"/>
        <v>0</v>
      </c>
      <c r="P103" s="593"/>
      <c r="Q103" s="594"/>
      <c r="R103" s="596"/>
      <c r="S103" s="596"/>
      <c r="Z103" s="334"/>
      <c r="AA103" s="334"/>
    </row>
    <row r="104" spans="1:27">
      <c r="A104" s="96">
        <v>300227</v>
      </c>
      <c r="B104" s="1286" t="s">
        <v>760</v>
      </c>
      <c r="C104" s="645" t="s">
        <v>1196</v>
      </c>
      <c r="D104" s="1375"/>
      <c r="E104" s="1299">
        <v>0.84899999999999998</v>
      </c>
      <c r="F104" s="1398"/>
      <c r="G104" s="1397"/>
      <c r="H104" s="1396"/>
      <c r="I104" s="1372"/>
      <c r="K104" s="1293">
        <v>1</v>
      </c>
      <c r="L104" s="1294">
        <v>0</v>
      </c>
      <c r="N104" s="983">
        <f t="shared" si="2"/>
        <v>0</v>
      </c>
      <c r="P104" s="593"/>
      <c r="Q104" s="594"/>
      <c r="R104" s="596"/>
      <c r="S104" s="596"/>
      <c r="Z104" s="334"/>
      <c r="AA104" s="334"/>
    </row>
    <row r="105" spans="1:27">
      <c r="A105" s="96">
        <v>300228</v>
      </c>
      <c r="B105" s="1286" t="s">
        <v>761</v>
      </c>
      <c r="C105" s="645" t="s">
        <v>1196</v>
      </c>
      <c r="D105" s="1375"/>
      <c r="E105" s="1299">
        <v>0.96499999999999997</v>
      </c>
      <c r="F105" s="1398"/>
      <c r="G105" s="1397"/>
      <c r="H105" s="1396"/>
      <c r="I105" s="1372"/>
      <c r="K105" s="1293">
        <v>1</v>
      </c>
      <c r="L105" s="1294">
        <v>0</v>
      </c>
      <c r="N105" s="983">
        <f t="shared" si="2"/>
        <v>0</v>
      </c>
      <c r="P105" s="593"/>
      <c r="Q105" s="594"/>
      <c r="R105" s="596"/>
      <c r="S105" s="596"/>
      <c r="Z105" s="334"/>
      <c r="AA105" s="334"/>
    </row>
    <row r="106" spans="1:27">
      <c r="A106" s="96">
        <v>300231</v>
      </c>
      <c r="B106" s="1286" t="s">
        <v>762</v>
      </c>
      <c r="C106" s="645" t="s">
        <v>1196</v>
      </c>
      <c r="D106" s="1375"/>
      <c r="E106" s="1299">
        <v>0.93400000000000005</v>
      </c>
      <c r="F106" s="1398"/>
      <c r="G106" s="1397"/>
      <c r="H106" s="1396"/>
      <c r="I106" s="1372"/>
      <c r="K106" s="1293">
        <v>1</v>
      </c>
      <c r="L106" s="1294">
        <v>0</v>
      </c>
      <c r="N106" s="983">
        <f t="shared" ref="N106:N137" si="3">IF(C106="local distribution point",1,0)</f>
        <v>0</v>
      </c>
      <c r="P106" s="593"/>
      <c r="Q106" s="594"/>
      <c r="R106" s="596"/>
      <c r="S106" s="596"/>
      <c r="Z106" s="334"/>
      <c r="AA106" s="334"/>
    </row>
    <row r="107" spans="1:27">
      <c r="A107" s="96">
        <v>300234</v>
      </c>
      <c r="B107" s="1286" t="s">
        <v>82</v>
      </c>
      <c r="C107" s="645" t="s">
        <v>1195</v>
      </c>
      <c r="D107" s="1375"/>
      <c r="E107" s="1299">
        <v>0.92200000000000004</v>
      </c>
      <c r="F107" s="1398"/>
      <c r="G107" s="1397"/>
      <c r="H107" s="1396"/>
      <c r="I107" s="1372"/>
      <c r="K107" s="1293">
        <v>0</v>
      </c>
      <c r="L107" s="1294">
        <v>0</v>
      </c>
      <c r="N107" s="983">
        <f t="shared" si="3"/>
        <v>1</v>
      </c>
      <c r="P107" s="593"/>
      <c r="Q107" s="594"/>
      <c r="R107" s="596"/>
      <c r="S107" s="596"/>
      <c r="Z107" s="334"/>
      <c r="AA107" s="334"/>
    </row>
    <row r="108" spans="1:27">
      <c r="A108" s="96">
        <v>300236</v>
      </c>
      <c r="B108" s="1286" t="s">
        <v>763</v>
      </c>
      <c r="C108" s="645" t="s">
        <v>1196</v>
      </c>
      <c r="D108" s="1375"/>
      <c r="E108" s="1299">
        <v>1.0309999999999999</v>
      </c>
      <c r="F108" s="1398"/>
      <c r="G108" s="1397"/>
      <c r="H108" s="1396"/>
      <c r="I108" s="1372"/>
      <c r="K108" s="1293">
        <v>1</v>
      </c>
      <c r="L108" s="1294">
        <v>0</v>
      </c>
      <c r="N108" s="983">
        <f t="shared" si="3"/>
        <v>0</v>
      </c>
      <c r="P108" s="593"/>
      <c r="Q108" s="594"/>
      <c r="R108" s="596"/>
      <c r="S108" s="596"/>
      <c r="Z108" s="334"/>
      <c r="AA108" s="334"/>
    </row>
    <row r="109" spans="1:27">
      <c r="A109" s="96">
        <v>300241</v>
      </c>
      <c r="B109" s="1286" t="s">
        <v>764</v>
      </c>
      <c r="C109" s="645" t="s">
        <v>1196</v>
      </c>
      <c r="D109" s="1375"/>
      <c r="E109" s="1299">
        <v>1.256</v>
      </c>
      <c r="F109" s="1398"/>
      <c r="G109" s="1397"/>
      <c r="H109" s="1396"/>
      <c r="I109" s="1372"/>
      <c r="K109" s="1293">
        <v>1</v>
      </c>
      <c r="L109" s="1294">
        <v>0</v>
      </c>
      <c r="N109" s="983">
        <f t="shared" si="3"/>
        <v>0</v>
      </c>
      <c r="P109" s="593"/>
      <c r="Q109" s="594"/>
      <c r="R109" s="596"/>
      <c r="S109" s="596"/>
      <c r="Z109" s="334"/>
      <c r="AA109" s="334"/>
    </row>
    <row r="110" spans="1:27">
      <c r="A110" s="96">
        <v>300242</v>
      </c>
      <c r="B110" s="1286" t="s">
        <v>83</v>
      </c>
      <c r="C110" s="645" t="s">
        <v>1196</v>
      </c>
      <c r="D110" s="1375"/>
      <c r="E110" s="1299">
        <v>0.33900000000000002</v>
      </c>
      <c r="F110" s="1398"/>
      <c r="G110" s="1397"/>
      <c r="H110" s="1396"/>
      <c r="I110" s="1372"/>
      <c r="K110" s="1293">
        <v>1</v>
      </c>
      <c r="L110" s="1294">
        <v>0</v>
      </c>
      <c r="N110" s="983">
        <f t="shared" si="3"/>
        <v>0</v>
      </c>
      <c r="P110" s="593"/>
      <c r="Q110" s="594"/>
      <c r="R110" s="596"/>
      <c r="S110" s="596"/>
      <c r="Z110" s="334"/>
      <c r="AA110" s="334"/>
    </row>
    <row r="111" spans="1:27">
      <c r="A111" s="96">
        <v>300245</v>
      </c>
      <c r="B111" s="1286" t="s">
        <v>765</v>
      </c>
      <c r="C111" s="645" t="s">
        <v>1196</v>
      </c>
      <c r="D111" s="1375"/>
      <c r="E111" s="1299">
        <v>1.341</v>
      </c>
      <c r="F111" s="1398"/>
      <c r="G111" s="1397"/>
      <c r="H111" s="1396"/>
      <c r="I111" s="1372"/>
      <c r="K111" s="1293">
        <v>1</v>
      </c>
      <c r="L111" s="1294">
        <v>0</v>
      </c>
      <c r="N111" s="983">
        <f t="shared" si="3"/>
        <v>0</v>
      </c>
      <c r="P111" s="593"/>
      <c r="Q111" s="594"/>
      <c r="R111" s="596"/>
      <c r="S111" s="596"/>
      <c r="Z111" s="334"/>
      <c r="AA111" s="334"/>
    </row>
    <row r="112" spans="1:27">
      <c r="A112" s="96">
        <v>300246</v>
      </c>
      <c r="B112" s="1286" t="s">
        <v>373</v>
      </c>
      <c r="C112" s="645" t="s">
        <v>1196</v>
      </c>
      <c r="D112" s="1375"/>
      <c r="E112" s="1299">
        <v>1.6259999999999999</v>
      </c>
      <c r="F112" s="1398"/>
      <c r="G112" s="1397"/>
      <c r="H112" s="1396"/>
      <c r="I112" s="1372"/>
      <c r="K112" s="1293">
        <v>1</v>
      </c>
      <c r="L112" s="1294">
        <v>0</v>
      </c>
      <c r="N112" s="983">
        <f t="shared" si="3"/>
        <v>0</v>
      </c>
      <c r="P112" s="593"/>
      <c r="Q112" s="594"/>
      <c r="R112" s="596"/>
      <c r="S112" s="596"/>
      <c r="Z112" s="334"/>
      <c r="AA112" s="334"/>
    </row>
    <row r="113" spans="1:27">
      <c r="A113" s="96">
        <v>300249</v>
      </c>
      <c r="B113" s="1286" t="s">
        <v>272</v>
      </c>
      <c r="C113" s="645" t="s">
        <v>1195</v>
      </c>
      <c r="D113" s="1375"/>
      <c r="E113" s="1299">
        <v>0.83899999999999997</v>
      </c>
      <c r="F113" s="1398"/>
      <c r="G113" s="1397"/>
      <c r="H113" s="1396"/>
      <c r="I113" s="1372"/>
      <c r="K113" s="1293">
        <v>0</v>
      </c>
      <c r="L113" s="1294">
        <v>0</v>
      </c>
      <c r="N113" s="983">
        <f t="shared" si="3"/>
        <v>1</v>
      </c>
      <c r="P113" s="593"/>
      <c r="Q113" s="594"/>
      <c r="R113" s="596"/>
      <c r="S113" s="596"/>
      <c r="Z113" s="334"/>
      <c r="AA113" s="334"/>
    </row>
    <row r="114" spans="1:27">
      <c r="A114" s="96">
        <v>300250</v>
      </c>
      <c r="B114" s="1286" t="s">
        <v>650</v>
      </c>
      <c r="C114" s="645" t="s">
        <v>1196</v>
      </c>
      <c r="D114" s="1375"/>
      <c r="E114" s="1299">
        <v>0.85799999999999998</v>
      </c>
      <c r="F114" s="1398"/>
      <c r="G114" s="1397"/>
      <c r="H114" s="1396"/>
      <c r="I114" s="1372"/>
      <c r="K114" s="1293">
        <v>1</v>
      </c>
      <c r="L114" s="1294">
        <v>0</v>
      </c>
      <c r="N114" s="983">
        <f t="shared" si="3"/>
        <v>0</v>
      </c>
      <c r="P114" s="593"/>
      <c r="Q114" s="594"/>
      <c r="R114" s="596"/>
      <c r="S114" s="596"/>
      <c r="Z114" s="334"/>
      <c r="AA114" s="334"/>
    </row>
    <row r="115" spans="1:27">
      <c r="A115" s="96">
        <v>300251</v>
      </c>
      <c r="B115" s="1286" t="s">
        <v>84</v>
      </c>
      <c r="C115" s="645" t="s">
        <v>1196</v>
      </c>
      <c r="D115" s="1375"/>
      <c r="E115" s="1299">
        <v>0.36399999999999999</v>
      </c>
      <c r="F115" s="1398"/>
      <c r="G115" s="1397"/>
      <c r="H115" s="1396"/>
      <c r="I115" s="1372"/>
      <c r="K115" s="1293">
        <v>1</v>
      </c>
      <c r="L115" s="1294">
        <v>0</v>
      </c>
      <c r="N115" s="983">
        <f t="shared" si="3"/>
        <v>0</v>
      </c>
      <c r="P115" s="595"/>
      <c r="Q115" s="593"/>
      <c r="R115" s="594"/>
      <c r="S115" s="596"/>
      <c r="Z115" s="334"/>
      <c r="AA115" s="334"/>
    </row>
    <row r="116" spans="1:27">
      <c r="A116" s="96">
        <v>300252</v>
      </c>
      <c r="B116" s="1286" t="s">
        <v>1199</v>
      </c>
      <c r="C116" s="645" t="s">
        <v>1196</v>
      </c>
      <c r="D116" s="1375"/>
      <c r="E116" s="1299">
        <v>1.607</v>
      </c>
      <c r="F116" s="1398"/>
      <c r="G116" s="1397"/>
      <c r="H116" s="1396"/>
      <c r="I116" s="1372"/>
      <c r="K116" s="1293">
        <v>1</v>
      </c>
      <c r="L116" s="1294">
        <v>0</v>
      </c>
      <c r="N116" s="983">
        <f t="shared" si="3"/>
        <v>0</v>
      </c>
      <c r="P116" s="595"/>
      <c r="Q116" s="593"/>
      <c r="R116" s="594"/>
      <c r="S116" s="596"/>
      <c r="Z116" s="334"/>
      <c r="AA116" s="334"/>
    </row>
    <row r="117" spans="1:27">
      <c r="A117" s="96">
        <v>300262</v>
      </c>
      <c r="B117" s="1286" t="s">
        <v>374</v>
      </c>
      <c r="C117" s="645" t="s">
        <v>1196</v>
      </c>
      <c r="D117" s="1375"/>
      <c r="E117" s="1299">
        <v>0.36399999999999999</v>
      </c>
      <c r="F117" s="1398"/>
      <c r="G117" s="1397"/>
      <c r="H117" s="1396"/>
      <c r="I117" s="1372"/>
      <c r="K117" s="1293">
        <v>1</v>
      </c>
      <c r="L117" s="1294">
        <v>0</v>
      </c>
      <c r="N117" s="983">
        <f t="shared" si="3"/>
        <v>0</v>
      </c>
      <c r="P117" s="595"/>
      <c r="Q117" s="593"/>
      <c r="R117" s="594"/>
      <c r="S117" s="596"/>
      <c r="Z117" s="334"/>
      <c r="AA117" s="334"/>
    </row>
    <row r="118" spans="1:27">
      <c r="A118" s="96">
        <v>300263</v>
      </c>
      <c r="B118" s="1286" t="s">
        <v>273</v>
      </c>
      <c r="C118" s="645" t="s">
        <v>1195</v>
      </c>
      <c r="D118" s="1375"/>
      <c r="E118" s="1299">
        <v>1.4219999999999999</v>
      </c>
      <c r="F118" s="1398"/>
      <c r="G118" s="1397"/>
      <c r="H118" s="1396"/>
      <c r="I118" s="1372"/>
      <c r="K118" s="1293">
        <v>0</v>
      </c>
      <c r="L118" s="1294">
        <v>0</v>
      </c>
      <c r="N118" s="983">
        <f t="shared" si="3"/>
        <v>1</v>
      </c>
      <c r="P118" s="595"/>
      <c r="Q118" s="593"/>
      <c r="R118" s="594"/>
      <c r="S118" s="596"/>
      <c r="Z118" s="334"/>
      <c r="AA118" s="334"/>
    </row>
    <row r="119" spans="1:27">
      <c r="A119" s="96">
        <v>300264</v>
      </c>
      <c r="B119" s="1286" t="s">
        <v>85</v>
      </c>
      <c r="C119" s="645" t="s">
        <v>1195</v>
      </c>
      <c r="D119" s="1375"/>
      <c r="E119" s="1299">
        <v>1.036</v>
      </c>
      <c r="F119" s="1398"/>
      <c r="G119" s="1397"/>
      <c r="H119" s="1396"/>
      <c r="I119" s="1372"/>
      <c r="K119" s="1293">
        <v>0</v>
      </c>
      <c r="L119" s="1294">
        <v>0</v>
      </c>
      <c r="N119" s="983">
        <f t="shared" si="3"/>
        <v>1</v>
      </c>
      <c r="P119" s="595"/>
      <c r="Q119" s="593"/>
      <c r="R119" s="594"/>
      <c r="S119" s="596"/>
      <c r="Z119" s="334"/>
      <c r="AA119" s="334"/>
    </row>
    <row r="120" spans="1:27">
      <c r="A120" s="96">
        <v>300265</v>
      </c>
      <c r="B120" s="1286" t="s">
        <v>86</v>
      </c>
      <c r="C120" s="645" t="s">
        <v>1196</v>
      </c>
      <c r="D120" s="1375"/>
      <c r="E120" s="1299">
        <v>0.96499999999999997</v>
      </c>
      <c r="F120" s="1398"/>
      <c r="G120" s="1397"/>
      <c r="H120" s="1396"/>
      <c r="I120" s="1372"/>
      <c r="K120" s="1293">
        <v>1</v>
      </c>
      <c r="L120" s="1294">
        <v>0</v>
      </c>
      <c r="N120" s="983">
        <f t="shared" si="3"/>
        <v>0</v>
      </c>
      <c r="P120" s="595"/>
      <c r="Q120" s="593"/>
      <c r="R120" s="594"/>
      <c r="S120" s="596"/>
      <c r="Z120" s="334"/>
      <c r="AA120" s="334"/>
    </row>
    <row r="121" spans="1:27">
      <c r="A121" s="96">
        <v>300269</v>
      </c>
      <c r="B121" s="1286" t="s">
        <v>87</v>
      </c>
      <c r="C121" s="645" t="s">
        <v>1195</v>
      </c>
      <c r="D121" s="1375"/>
      <c r="E121" s="1299">
        <v>1.64</v>
      </c>
      <c r="F121" s="1398"/>
      <c r="G121" s="1397"/>
      <c r="H121" s="1396"/>
      <c r="I121" s="1372"/>
      <c r="K121" s="1293">
        <v>0</v>
      </c>
      <c r="L121" s="1294">
        <v>0</v>
      </c>
      <c r="N121" s="983">
        <f t="shared" si="3"/>
        <v>1</v>
      </c>
      <c r="P121" s="595"/>
      <c r="Q121" s="593"/>
      <c r="R121" s="594"/>
      <c r="S121" s="596"/>
      <c r="Z121" s="334"/>
      <c r="AA121" s="334"/>
    </row>
    <row r="122" spans="1:27">
      <c r="A122" s="96">
        <v>300274</v>
      </c>
      <c r="B122" s="1286" t="s">
        <v>766</v>
      </c>
      <c r="C122" s="645" t="s">
        <v>1196</v>
      </c>
      <c r="D122" s="1375"/>
      <c r="E122" s="1299">
        <v>0.44500000000000001</v>
      </c>
      <c r="F122" s="1398"/>
      <c r="G122" s="1397"/>
      <c r="H122" s="1396"/>
      <c r="I122" s="1372"/>
      <c r="K122" s="1293">
        <v>1</v>
      </c>
      <c r="L122" s="1294">
        <v>0</v>
      </c>
      <c r="N122" s="983">
        <f t="shared" si="3"/>
        <v>0</v>
      </c>
      <c r="P122" s="595"/>
      <c r="Q122" s="593"/>
      <c r="R122" s="594"/>
      <c r="S122" s="596"/>
      <c r="Z122" s="334"/>
      <c r="AA122" s="334"/>
    </row>
    <row r="123" spans="1:27">
      <c r="A123" s="96">
        <v>300276</v>
      </c>
      <c r="B123" s="1286" t="s">
        <v>88</v>
      </c>
      <c r="C123" s="645" t="s">
        <v>1195</v>
      </c>
      <c r="D123" s="1375"/>
      <c r="E123" s="1299">
        <v>1.2829999999999999</v>
      </c>
      <c r="F123" s="1398"/>
      <c r="G123" s="1397"/>
      <c r="H123" s="1396"/>
      <c r="I123" s="1372"/>
      <c r="K123" s="1293">
        <v>0</v>
      </c>
      <c r="L123" s="1294">
        <v>0</v>
      </c>
      <c r="N123" s="983">
        <f t="shared" si="3"/>
        <v>1</v>
      </c>
      <c r="P123" s="595"/>
      <c r="Q123" s="593"/>
      <c r="R123" s="594"/>
      <c r="S123" s="596"/>
      <c r="Z123" s="334"/>
      <c r="AA123" s="334"/>
    </row>
    <row r="124" spans="1:27">
      <c r="A124" s="96">
        <v>300283</v>
      </c>
      <c r="B124" s="1286" t="s">
        <v>274</v>
      </c>
      <c r="C124" s="645" t="s">
        <v>1195</v>
      </c>
      <c r="D124" s="1375"/>
      <c r="E124" s="1299">
        <v>1.4330000000000001</v>
      </c>
      <c r="F124" s="1398"/>
      <c r="G124" s="1397"/>
      <c r="H124" s="1396"/>
      <c r="I124" s="1372"/>
      <c r="K124" s="1293">
        <v>0</v>
      </c>
      <c r="L124" s="1294">
        <v>0</v>
      </c>
      <c r="N124" s="983">
        <f t="shared" si="3"/>
        <v>1</v>
      </c>
      <c r="Z124" s="334"/>
      <c r="AA124" s="334"/>
    </row>
    <row r="125" spans="1:27">
      <c r="A125" s="96">
        <v>300285</v>
      </c>
      <c r="B125" s="1286" t="s">
        <v>89</v>
      </c>
      <c r="C125" s="645" t="s">
        <v>1195</v>
      </c>
      <c r="D125" s="1375"/>
      <c r="E125" s="1299">
        <v>0.85199999999999998</v>
      </c>
      <c r="F125" s="1398"/>
      <c r="G125" s="1397"/>
      <c r="H125" s="1396"/>
      <c r="I125" s="1372"/>
      <c r="K125" s="1293">
        <v>0</v>
      </c>
      <c r="L125" s="1294">
        <v>0</v>
      </c>
      <c r="N125" s="983">
        <f t="shared" si="3"/>
        <v>1</v>
      </c>
      <c r="Z125" s="334"/>
      <c r="AA125" s="334"/>
    </row>
    <row r="126" spans="1:27">
      <c r="A126" s="96">
        <v>300288</v>
      </c>
      <c r="B126" s="1286" t="s">
        <v>90</v>
      </c>
      <c r="C126" s="645" t="s">
        <v>1196</v>
      </c>
      <c r="D126" s="1375"/>
      <c r="E126" s="1299">
        <v>0.87</v>
      </c>
      <c r="F126" s="1398"/>
      <c r="G126" s="1397"/>
      <c r="H126" s="1396"/>
      <c r="I126" s="1372"/>
      <c r="K126" s="1293">
        <v>1</v>
      </c>
      <c r="L126" s="1294">
        <v>0</v>
      </c>
      <c r="N126" s="983">
        <f t="shared" si="3"/>
        <v>0</v>
      </c>
      <c r="Z126" s="334"/>
      <c r="AA126" s="334"/>
    </row>
    <row r="127" spans="1:27">
      <c r="A127" s="96">
        <v>300292</v>
      </c>
      <c r="B127" s="1286" t="s">
        <v>767</v>
      </c>
      <c r="C127" s="645" t="s">
        <v>1196</v>
      </c>
      <c r="D127" s="1375"/>
      <c r="E127" s="1299">
        <v>0.33900000000000002</v>
      </c>
      <c r="F127" s="1398"/>
      <c r="G127" s="1397"/>
      <c r="H127" s="1396"/>
      <c r="I127" s="1372"/>
      <c r="K127" s="1293">
        <v>1</v>
      </c>
      <c r="L127" s="1294">
        <v>0</v>
      </c>
      <c r="N127" s="983">
        <f t="shared" si="3"/>
        <v>0</v>
      </c>
      <c r="Z127" s="334"/>
      <c r="AA127" s="334"/>
    </row>
    <row r="128" spans="1:27">
      <c r="A128" s="96">
        <v>300294</v>
      </c>
      <c r="B128" s="1286" t="s">
        <v>651</v>
      </c>
      <c r="C128" s="645" t="s">
        <v>1196</v>
      </c>
      <c r="D128" s="1375"/>
      <c r="E128" s="1299">
        <v>1.607</v>
      </c>
      <c r="F128" s="1398"/>
      <c r="G128" s="1397"/>
      <c r="H128" s="1396"/>
      <c r="I128" s="1372"/>
      <c r="K128" s="1293">
        <v>1</v>
      </c>
      <c r="L128" s="1294">
        <v>0</v>
      </c>
      <c r="N128" s="983">
        <f t="shared" si="3"/>
        <v>0</v>
      </c>
      <c r="Z128" s="334"/>
      <c r="AA128" s="334"/>
    </row>
    <row r="129" spans="1:27">
      <c r="A129" s="96">
        <v>300304</v>
      </c>
      <c r="B129" s="1286" t="s">
        <v>768</v>
      </c>
      <c r="C129" s="645" t="s">
        <v>1196</v>
      </c>
      <c r="D129" s="1375"/>
      <c r="E129" s="1299">
        <v>0.33900000000000002</v>
      </c>
      <c r="F129" s="1398"/>
      <c r="G129" s="1397"/>
      <c r="H129" s="1396"/>
      <c r="I129" s="1372"/>
      <c r="K129" s="1293">
        <v>1</v>
      </c>
      <c r="L129" s="1294">
        <v>0</v>
      </c>
      <c r="N129" s="983">
        <f t="shared" si="3"/>
        <v>0</v>
      </c>
      <c r="Z129" s="334"/>
      <c r="AA129" s="334"/>
    </row>
    <row r="130" spans="1:27">
      <c r="A130" s="96">
        <v>300306</v>
      </c>
      <c r="B130" s="1286" t="s">
        <v>769</v>
      </c>
      <c r="C130" s="645" t="s">
        <v>1196</v>
      </c>
      <c r="D130" s="1375"/>
      <c r="E130" s="1299">
        <v>0.36399999999999999</v>
      </c>
      <c r="F130" s="1398"/>
      <c r="G130" s="1397"/>
      <c r="H130" s="1396"/>
      <c r="I130" s="1372"/>
      <c r="K130" s="1293">
        <v>1</v>
      </c>
      <c r="L130" s="1294">
        <v>0</v>
      </c>
      <c r="N130" s="983">
        <f t="shared" si="3"/>
        <v>0</v>
      </c>
      <c r="Z130" s="334"/>
      <c r="AA130" s="334"/>
    </row>
    <row r="131" spans="1:27">
      <c r="A131" s="96">
        <v>300308</v>
      </c>
      <c r="B131" s="1286" t="s">
        <v>91</v>
      </c>
      <c r="C131" s="645" t="s">
        <v>1196</v>
      </c>
      <c r="D131" s="1375"/>
      <c r="E131" s="1299">
        <v>1.4550000000000001</v>
      </c>
      <c r="F131" s="1398"/>
      <c r="G131" s="1397"/>
      <c r="H131" s="1396"/>
      <c r="I131" s="1372"/>
      <c r="K131" s="1293">
        <v>1</v>
      </c>
      <c r="L131" s="1294">
        <v>0</v>
      </c>
      <c r="N131" s="983">
        <f t="shared" si="3"/>
        <v>0</v>
      </c>
      <c r="Z131" s="334"/>
      <c r="AA131" s="334"/>
    </row>
    <row r="132" spans="1:27">
      <c r="A132" s="96">
        <v>300309</v>
      </c>
      <c r="B132" s="1286" t="s">
        <v>92</v>
      </c>
      <c r="C132" s="645" t="s">
        <v>1196</v>
      </c>
      <c r="D132" s="1375"/>
      <c r="E132" s="1299">
        <v>0.80400000000000005</v>
      </c>
      <c r="F132" s="1398"/>
      <c r="G132" s="1397"/>
      <c r="H132" s="1396"/>
      <c r="I132" s="1372"/>
      <c r="K132" s="1293">
        <v>1</v>
      </c>
      <c r="L132" s="1294">
        <v>0</v>
      </c>
      <c r="N132" s="983">
        <f t="shared" si="3"/>
        <v>0</v>
      </c>
      <c r="Z132" s="334"/>
      <c r="AA132" s="334"/>
    </row>
    <row r="133" spans="1:27">
      <c r="A133" s="96">
        <v>300311</v>
      </c>
      <c r="B133" s="1286" t="s">
        <v>93</v>
      </c>
      <c r="C133" s="645" t="s">
        <v>1196</v>
      </c>
      <c r="D133" s="1375"/>
      <c r="E133" s="1299">
        <v>0.96499999999999997</v>
      </c>
      <c r="F133" s="1398"/>
      <c r="G133" s="1397"/>
      <c r="H133" s="1396"/>
      <c r="I133" s="1372"/>
      <c r="K133" s="1293">
        <v>1</v>
      </c>
      <c r="L133" s="1294">
        <v>0</v>
      </c>
      <c r="N133" s="983">
        <f t="shared" si="3"/>
        <v>0</v>
      </c>
      <c r="Z133" s="334"/>
      <c r="AA133" s="334"/>
    </row>
    <row r="134" spans="1:27">
      <c r="A134" s="96">
        <v>300314</v>
      </c>
      <c r="B134" s="1286" t="s">
        <v>94</v>
      </c>
      <c r="C134" s="645" t="s">
        <v>1196</v>
      </c>
      <c r="D134" s="1375"/>
      <c r="E134" s="1299">
        <v>1.5289999999999999</v>
      </c>
      <c r="F134" s="1398"/>
      <c r="G134" s="1397"/>
      <c r="H134" s="1396"/>
      <c r="I134" s="1372"/>
      <c r="K134" s="1293">
        <v>1</v>
      </c>
      <c r="L134" s="1294">
        <v>0</v>
      </c>
      <c r="N134" s="983">
        <f t="shared" si="3"/>
        <v>0</v>
      </c>
      <c r="Z134" s="334"/>
      <c r="AA134" s="334"/>
    </row>
    <row r="135" spans="1:27">
      <c r="A135" s="96">
        <v>300319</v>
      </c>
      <c r="B135" s="1286" t="s">
        <v>275</v>
      </c>
      <c r="C135" s="645" t="s">
        <v>1195</v>
      </c>
      <c r="D135" s="1375"/>
      <c r="E135" s="1299">
        <v>0.75900000000000001</v>
      </c>
      <c r="F135" s="1398"/>
      <c r="G135" s="1397"/>
      <c r="H135" s="1396"/>
      <c r="I135" s="1372"/>
      <c r="K135" s="1293">
        <v>0</v>
      </c>
      <c r="L135" s="1294">
        <v>0</v>
      </c>
      <c r="N135" s="983">
        <f t="shared" si="3"/>
        <v>1</v>
      </c>
      <c r="Z135" s="334"/>
      <c r="AA135" s="334"/>
    </row>
    <row r="136" spans="1:27">
      <c r="A136" s="96">
        <v>300321</v>
      </c>
      <c r="B136" s="1286" t="s">
        <v>95</v>
      </c>
      <c r="C136" s="645" t="s">
        <v>1195</v>
      </c>
      <c r="D136" s="1375"/>
      <c r="E136" s="1299">
        <v>1.8109999999999999</v>
      </c>
      <c r="F136" s="1398"/>
      <c r="G136" s="1397"/>
      <c r="H136" s="1396"/>
      <c r="I136" s="1372"/>
      <c r="K136" s="1293">
        <v>0</v>
      </c>
      <c r="L136" s="1294">
        <v>0</v>
      </c>
      <c r="N136" s="983">
        <f t="shared" si="3"/>
        <v>1</v>
      </c>
      <c r="Z136" s="334"/>
      <c r="AA136" s="334"/>
    </row>
    <row r="137" spans="1:27">
      <c r="A137" s="96">
        <v>300322</v>
      </c>
      <c r="B137" s="1286" t="s">
        <v>276</v>
      </c>
      <c r="C137" s="645" t="s">
        <v>1195</v>
      </c>
      <c r="D137" s="1375"/>
      <c r="E137" s="1299">
        <v>0.92200000000000004</v>
      </c>
      <c r="F137" s="1398"/>
      <c r="G137" s="1397"/>
      <c r="H137" s="1396"/>
      <c r="I137" s="1372"/>
      <c r="K137" s="1293">
        <v>0</v>
      </c>
      <c r="L137" s="1294">
        <v>0</v>
      </c>
      <c r="N137" s="983">
        <f t="shared" si="3"/>
        <v>1</v>
      </c>
      <c r="Z137" s="334"/>
      <c r="AA137" s="334"/>
    </row>
    <row r="138" spans="1:27">
      <c r="A138" s="96">
        <v>300325</v>
      </c>
      <c r="B138" s="1286" t="s">
        <v>277</v>
      </c>
      <c r="C138" s="645" t="s">
        <v>1195</v>
      </c>
      <c r="D138" s="1375"/>
      <c r="E138" s="1299">
        <v>1.2829999999999999</v>
      </c>
      <c r="F138" s="1398"/>
      <c r="G138" s="1397"/>
      <c r="H138" s="1396"/>
      <c r="I138" s="1372"/>
      <c r="K138" s="1293">
        <v>0</v>
      </c>
      <c r="L138" s="1294">
        <v>0</v>
      </c>
      <c r="N138" s="983">
        <f t="shared" ref="N138:N201" si="4">IF(C138="local distribution point",1,0)</f>
        <v>1</v>
      </c>
      <c r="Z138" s="334"/>
      <c r="AA138" s="334"/>
    </row>
    <row r="139" spans="1:27">
      <c r="A139" s="96">
        <v>300328</v>
      </c>
      <c r="B139" s="1286" t="s">
        <v>96</v>
      </c>
      <c r="C139" s="645" t="s">
        <v>1196</v>
      </c>
      <c r="D139" s="1375"/>
      <c r="E139" s="1299">
        <v>0.79100000000000004</v>
      </c>
      <c r="F139" s="1398"/>
      <c r="G139" s="1397"/>
      <c r="H139" s="1396"/>
      <c r="I139" s="1372"/>
      <c r="K139" s="1293">
        <v>1</v>
      </c>
      <c r="L139" s="1294">
        <v>0</v>
      </c>
      <c r="N139" s="983">
        <f t="shared" si="4"/>
        <v>0</v>
      </c>
      <c r="Z139" s="334"/>
      <c r="AA139" s="334"/>
    </row>
    <row r="140" spans="1:27">
      <c r="A140" s="96">
        <v>300330</v>
      </c>
      <c r="B140" s="1286" t="s">
        <v>97</v>
      </c>
      <c r="C140" s="645" t="s">
        <v>1195</v>
      </c>
      <c r="D140" s="1375"/>
      <c r="E140" s="1299">
        <v>1.51</v>
      </c>
      <c r="F140" s="1398"/>
      <c r="G140" s="1397"/>
      <c r="H140" s="1396"/>
      <c r="I140" s="1372"/>
      <c r="K140" s="1293">
        <v>0</v>
      </c>
      <c r="L140" s="1294">
        <v>0</v>
      </c>
      <c r="N140" s="983">
        <f t="shared" si="4"/>
        <v>1</v>
      </c>
      <c r="Z140" s="334"/>
      <c r="AA140" s="334"/>
    </row>
    <row r="141" spans="1:27">
      <c r="A141" s="96">
        <v>300333</v>
      </c>
      <c r="B141" s="1286" t="s">
        <v>770</v>
      </c>
      <c r="C141" s="645" t="s">
        <v>1196</v>
      </c>
      <c r="D141" s="1375"/>
      <c r="E141" s="1299">
        <v>1.3859999999999999</v>
      </c>
      <c r="F141" s="1398"/>
      <c r="G141" s="1397"/>
      <c r="H141" s="1396"/>
      <c r="I141" s="1372"/>
      <c r="K141" s="1293">
        <v>1</v>
      </c>
      <c r="L141" s="1294">
        <v>0</v>
      </c>
      <c r="N141" s="983">
        <f t="shared" si="4"/>
        <v>0</v>
      </c>
      <c r="Z141" s="334"/>
      <c r="AA141" s="334"/>
    </row>
    <row r="142" spans="1:27">
      <c r="A142" s="96">
        <v>300337</v>
      </c>
      <c r="B142" s="1286" t="s">
        <v>771</v>
      </c>
      <c r="C142" s="645" t="s">
        <v>1196</v>
      </c>
      <c r="D142" s="1375"/>
      <c r="E142" s="1299">
        <v>1.7450000000000001</v>
      </c>
      <c r="F142" s="1398"/>
      <c r="G142" s="1397"/>
      <c r="H142" s="1396"/>
      <c r="I142" s="1372"/>
      <c r="K142" s="1293">
        <v>1</v>
      </c>
      <c r="L142" s="1294">
        <v>0</v>
      </c>
      <c r="N142" s="983">
        <f t="shared" si="4"/>
        <v>0</v>
      </c>
      <c r="Z142" s="334"/>
      <c r="AA142" s="334"/>
    </row>
    <row r="143" spans="1:27">
      <c r="A143" s="96">
        <v>300338</v>
      </c>
      <c r="B143" s="1286" t="s">
        <v>98</v>
      </c>
      <c r="C143" s="645" t="s">
        <v>1195</v>
      </c>
      <c r="D143" s="1375"/>
      <c r="E143" s="1299">
        <v>0.28000000000000003</v>
      </c>
      <c r="F143" s="1398"/>
      <c r="G143" s="1397"/>
      <c r="H143" s="1396"/>
      <c r="I143" s="1372"/>
      <c r="K143" s="1293">
        <v>0</v>
      </c>
      <c r="L143" s="1294">
        <v>0</v>
      </c>
      <c r="N143" s="983">
        <f t="shared" si="4"/>
        <v>1</v>
      </c>
      <c r="Z143" s="334"/>
      <c r="AA143" s="334"/>
    </row>
    <row r="144" spans="1:27">
      <c r="A144" s="96">
        <v>300345</v>
      </c>
      <c r="B144" s="1286" t="s">
        <v>772</v>
      </c>
      <c r="C144" s="645" t="s">
        <v>1196</v>
      </c>
      <c r="D144" s="1375"/>
      <c r="E144" s="1299">
        <v>1.4350000000000001</v>
      </c>
      <c r="F144" s="1398"/>
      <c r="G144" s="1397"/>
      <c r="H144" s="1396"/>
      <c r="I144" s="1372"/>
      <c r="K144" s="1293">
        <v>1</v>
      </c>
      <c r="L144" s="1294">
        <v>0</v>
      </c>
      <c r="N144" s="983">
        <f t="shared" si="4"/>
        <v>0</v>
      </c>
      <c r="Z144" s="334"/>
      <c r="AA144" s="334"/>
    </row>
    <row r="145" spans="1:27">
      <c r="A145" s="96">
        <v>300348</v>
      </c>
      <c r="B145" s="1286" t="s">
        <v>773</v>
      </c>
      <c r="C145" s="645" t="s">
        <v>1196</v>
      </c>
      <c r="D145" s="1375"/>
      <c r="E145" s="1299">
        <v>0.79100000000000004</v>
      </c>
      <c r="F145" s="1398"/>
      <c r="G145" s="1397"/>
      <c r="H145" s="1396"/>
      <c r="I145" s="1372"/>
      <c r="K145" s="1293">
        <v>1</v>
      </c>
      <c r="L145" s="1294">
        <v>0</v>
      </c>
      <c r="N145" s="983">
        <f t="shared" si="4"/>
        <v>0</v>
      </c>
      <c r="Z145" s="334"/>
      <c r="AA145" s="334"/>
    </row>
    <row r="146" spans="1:27">
      <c r="A146" s="96">
        <v>300350</v>
      </c>
      <c r="B146" s="1286" t="s">
        <v>774</v>
      </c>
      <c r="C146" s="645" t="s">
        <v>1195</v>
      </c>
      <c r="D146" s="1375"/>
      <c r="E146" s="1299">
        <v>1.369</v>
      </c>
      <c r="F146" s="1398"/>
      <c r="G146" s="1397"/>
      <c r="H146" s="1396"/>
      <c r="I146" s="1372"/>
      <c r="K146" s="1293">
        <v>0</v>
      </c>
      <c r="L146" s="1294">
        <v>0</v>
      </c>
      <c r="N146" s="983">
        <f t="shared" si="4"/>
        <v>1</v>
      </c>
      <c r="Z146" s="334"/>
      <c r="AA146" s="334"/>
    </row>
    <row r="147" spans="1:27">
      <c r="A147" s="96">
        <v>300353</v>
      </c>
      <c r="B147" s="1286" t="s">
        <v>775</v>
      </c>
      <c r="C147" s="645" t="s">
        <v>1195</v>
      </c>
      <c r="D147" s="1375"/>
      <c r="E147" s="1299">
        <v>1.8109999999999999</v>
      </c>
      <c r="F147" s="1398"/>
      <c r="G147" s="1397"/>
      <c r="H147" s="1396"/>
      <c r="I147" s="1372"/>
      <c r="K147" s="1293">
        <v>0</v>
      </c>
      <c r="L147" s="1294">
        <v>0</v>
      </c>
      <c r="N147" s="983">
        <f t="shared" si="4"/>
        <v>1</v>
      </c>
      <c r="Z147" s="334"/>
      <c r="AA147" s="334"/>
    </row>
    <row r="148" spans="1:27">
      <c r="A148" s="96">
        <v>300355</v>
      </c>
      <c r="B148" s="1286" t="s">
        <v>776</v>
      </c>
      <c r="C148" s="645" t="s">
        <v>1195</v>
      </c>
      <c r="D148" s="1375"/>
      <c r="E148" s="1299">
        <v>0.92200000000000004</v>
      </c>
      <c r="F148" s="1398"/>
      <c r="G148" s="1397"/>
      <c r="H148" s="1396"/>
      <c r="I148" s="1372"/>
      <c r="K148" s="1293">
        <v>0</v>
      </c>
      <c r="L148" s="1294">
        <v>0</v>
      </c>
      <c r="N148" s="983">
        <f t="shared" si="4"/>
        <v>1</v>
      </c>
      <c r="Z148" s="334"/>
      <c r="AA148" s="334"/>
    </row>
    <row r="149" spans="1:27">
      <c r="A149" s="96">
        <v>300360</v>
      </c>
      <c r="B149" s="1286" t="s">
        <v>777</v>
      </c>
      <c r="C149" s="645" t="s">
        <v>1195</v>
      </c>
      <c r="D149" s="1375"/>
      <c r="E149" s="1299">
        <v>2.0230000000000001</v>
      </c>
      <c r="F149" s="1398"/>
      <c r="G149" s="1397"/>
      <c r="H149" s="1396"/>
      <c r="I149" s="1372"/>
      <c r="K149" s="1293">
        <v>0</v>
      </c>
      <c r="L149" s="1294">
        <v>0</v>
      </c>
      <c r="N149" s="983">
        <f t="shared" si="4"/>
        <v>1</v>
      </c>
      <c r="Z149" s="334"/>
      <c r="AA149" s="334"/>
    </row>
    <row r="150" spans="1:27">
      <c r="A150" s="96">
        <v>300363</v>
      </c>
      <c r="B150" s="1286" t="s">
        <v>778</v>
      </c>
      <c r="C150" s="645" t="s">
        <v>1196</v>
      </c>
      <c r="D150" s="1375"/>
      <c r="E150" s="1299">
        <v>1.5469999999999999</v>
      </c>
      <c r="F150" s="1398"/>
      <c r="G150" s="1397"/>
      <c r="H150" s="1396"/>
      <c r="I150" s="1372"/>
      <c r="K150" s="1293">
        <v>1</v>
      </c>
      <c r="L150" s="1294">
        <v>0</v>
      </c>
      <c r="N150" s="983">
        <f t="shared" si="4"/>
        <v>0</v>
      </c>
      <c r="Z150" s="334"/>
      <c r="AA150" s="334"/>
    </row>
    <row r="151" spans="1:27">
      <c r="A151" s="96">
        <v>300366</v>
      </c>
      <c r="B151" s="1286" t="s">
        <v>779</v>
      </c>
      <c r="C151" s="645" t="s">
        <v>1196</v>
      </c>
      <c r="D151" s="1375"/>
      <c r="E151" s="1299">
        <v>1.708</v>
      </c>
      <c r="F151" s="1398"/>
      <c r="G151" s="1397"/>
      <c r="H151" s="1396"/>
      <c r="I151" s="1372"/>
      <c r="K151" s="1293">
        <v>1</v>
      </c>
      <c r="L151" s="1294">
        <v>0</v>
      </c>
      <c r="N151" s="983">
        <f t="shared" si="4"/>
        <v>0</v>
      </c>
      <c r="Z151" s="334"/>
      <c r="AA151" s="334"/>
    </row>
    <row r="152" spans="1:27">
      <c r="A152" s="96">
        <v>300373</v>
      </c>
      <c r="B152" s="1286" t="s">
        <v>780</v>
      </c>
      <c r="C152" s="645" t="s">
        <v>1195</v>
      </c>
      <c r="D152" s="1375"/>
      <c r="E152" s="1299">
        <v>1.51</v>
      </c>
      <c r="F152" s="1398"/>
      <c r="G152" s="1397"/>
      <c r="H152" s="1396"/>
      <c r="I152" s="1372"/>
      <c r="K152" s="1293">
        <v>0</v>
      </c>
      <c r="L152" s="1294">
        <v>0</v>
      </c>
      <c r="N152" s="983">
        <f t="shared" si="4"/>
        <v>1</v>
      </c>
      <c r="Z152" s="334"/>
      <c r="AA152" s="334"/>
    </row>
    <row r="153" spans="1:27">
      <c r="A153" s="96">
        <v>300375</v>
      </c>
      <c r="B153" s="1286" t="s">
        <v>781</v>
      </c>
      <c r="C153" s="645" t="s">
        <v>1196</v>
      </c>
      <c r="D153" s="1375"/>
      <c r="E153" s="1299">
        <v>0.33900000000000002</v>
      </c>
      <c r="F153" s="1398"/>
      <c r="G153" s="1397"/>
      <c r="H153" s="1396"/>
      <c r="I153" s="1372"/>
      <c r="K153" s="1293">
        <v>1</v>
      </c>
      <c r="L153" s="1294">
        <v>0</v>
      </c>
      <c r="N153" s="983">
        <f t="shared" si="4"/>
        <v>0</v>
      </c>
      <c r="Z153" s="334"/>
      <c r="AA153" s="334"/>
    </row>
    <row r="154" spans="1:27">
      <c r="A154" s="96">
        <v>300378</v>
      </c>
      <c r="B154" s="1286" t="s">
        <v>782</v>
      </c>
      <c r="C154" s="645" t="s">
        <v>1196</v>
      </c>
      <c r="D154" s="1375"/>
      <c r="E154" s="1299">
        <v>0.83299999999999996</v>
      </c>
      <c r="F154" s="1398"/>
      <c r="G154" s="1397"/>
      <c r="H154" s="1396"/>
      <c r="I154" s="1372"/>
      <c r="K154" s="1293">
        <v>1</v>
      </c>
      <c r="L154" s="1294">
        <v>0</v>
      </c>
      <c r="N154" s="983">
        <f t="shared" si="4"/>
        <v>0</v>
      </c>
      <c r="Z154" s="334"/>
      <c r="AA154" s="334"/>
    </row>
    <row r="155" spans="1:27">
      <c r="A155" s="96">
        <v>300380</v>
      </c>
      <c r="B155" s="1286" t="s">
        <v>783</v>
      </c>
      <c r="C155" s="645" t="s">
        <v>1196</v>
      </c>
      <c r="D155" s="1375"/>
      <c r="E155" s="1299">
        <v>1.0309999999999999</v>
      </c>
      <c r="F155" s="1398"/>
      <c r="G155" s="1397"/>
      <c r="H155" s="1396"/>
      <c r="I155" s="1372"/>
      <c r="K155" s="1293">
        <v>1</v>
      </c>
      <c r="L155" s="1294">
        <v>0</v>
      </c>
      <c r="N155" s="983">
        <f t="shared" si="4"/>
        <v>0</v>
      </c>
      <c r="Z155" s="334"/>
      <c r="AA155" s="334"/>
    </row>
    <row r="156" spans="1:27">
      <c r="A156" s="96">
        <v>300382</v>
      </c>
      <c r="B156" s="1286" t="s">
        <v>784</v>
      </c>
      <c r="C156" s="645" t="s">
        <v>1196</v>
      </c>
      <c r="D156" s="1375"/>
      <c r="E156" s="1299">
        <v>0.33900000000000002</v>
      </c>
      <c r="F156" s="1398"/>
      <c r="G156" s="1397"/>
      <c r="H156" s="1396"/>
      <c r="I156" s="1372"/>
      <c r="K156" s="1293">
        <v>1</v>
      </c>
      <c r="L156" s="1294">
        <v>0</v>
      </c>
      <c r="N156" s="983">
        <f t="shared" si="4"/>
        <v>0</v>
      </c>
      <c r="Z156" s="334"/>
      <c r="AA156" s="334"/>
    </row>
    <row r="157" spans="1:27">
      <c r="A157" s="96">
        <v>300394</v>
      </c>
      <c r="B157" s="1286" t="s">
        <v>99</v>
      </c>
      <c r="C157" s="645" t="s">
        <v>1196</v>
      </c>
      <c r="D157" s="1375"/>
      <c r="E157" s="1299">
        <v>1.17</v>
      </c>
      <c r="F157" s="1398"/>
      <c r="G157" s="1397"/>
      <c r="H157" s="1396"/>
      <c r="I157" s="1372"/>
      <c r="K157" s="1293">
        <v>1</v>
      </c>
      <c r="L157" s="1294">
        <v>0</v>
      </c>
      <c r="N157" s="983">
        <f t="shared" si="4"/>
        <v>0</v>
      </c>
      <c r="Z157" s="334"/>
      <c r="AA157" s="334"/>
    </row>
    <row r="158" spans="1:27">
      <c r="A158" s="96">
        <v>300400</v>
      </c>
      <c r="B158" s="1286" t="s">
        <v>109</v>
      </c>
      <c r="C158" s="645" t="s">
        <v>1196</v>
      </c>
      <c r="D158" s="1375"/>
      <c r="E158" s="1299">
        <v>1.107</v>
      </c>
      <c r="F158" s="1398"/>
      <c r="G158" s="1397"/>
      <c r="H158" s="1396"/>
      <c r="I158" s="1372"/>
      <c r="K158" s="1293">
        <v>1</v>
      </c>
      <c r="L158" s="1294">
        <v>0</v>
      </c>
      <c r="N158" s="983">
        <f t="shared" si="4"/>
        <v>0</v>
      </c>
      <c r="Z158" s="334"/>
      <c r="AA158" s="334"/>
    </row>
    <row r="159" spans="1:27">
      <c r="A159" s="96">
        <v>300405</v>
      </c>
      <c r="B159" s="1286" t="s">
        <v>110</v>
      </c>
      <c r="C159" s="645" t="s">
        <v>1196</v>
      </c>
      <c r="D159" s="1375"/>
      <c r="E159" s="1299">
        <v>1.2989999999999999</v>
      </c>
      <c r="F159" s="1398"/>
      <c r="G159" s="1397"/>
      <c r="H159" s="1396"/>
      <c r="I159" s="1372"/>
      <c r="K159" s="1293">
        <v>1</v>
      </c>
      <c r="L159" s="1294">
        <v>0</v>
      </c>
      <c r="N159" s="983">
        <f t="shared" si="4"/>
        <v>0</v>
      </c>
      <c r="Z159" s="334"/>
      <c r="AA159" s="334"/>
    </row>
    <row r="160" spans="1:27">
      <c r="A160" s="96">
        <v>300406</v>
      </c>
      <c r="B160" s="1286" t="s">
        <v>111</v>
      </c>
      <c r="C160" s="645" t="s">
        <v>1195</v>
      </c>
      <c r="D160" s="1375"/>
      <c r="E160" s="1299">
        <v>1.51</v>
      </c>
      <c r="F160" s="1398"/>
      <c r="G160" s="1397"/>
      <c r="H160" s="1396"/>
      <c r="I160" s="1372"/>
      <c r="K160" s="1293">
        <v>0</v>
      </c>
      <c r="L160" s="1294">
        <v>0</v>
      </c>
      <c r="N160" s="983">
        <f t="shared" si="4"/>
        <v>1</v>
      </c>
      <c r="Z160" s="334"/>
      <c r="AA160" s="334"/>
    </row>
    <row r="161" spans="1:27">
      <c r="A161" s="96">
        <v>300407</v>
      </c>
      <c r="B161" s="1286" t="s">
        <v>112</v>
      </c>
      <c r="C161" s="645" t="s">
        <v>1195</v>
      </c>
      <c r="D161" s="1375"/>
      <c r="E161" s="1299">
        <v>1.4330000000000001</v>
      </c>
      <c r="F161" s="1398"/>
      <c r="G161" s="1397"/>
      <c r="H161" s="1396"/>
      <c r="I161" s="1372"/>
      <c r="K161" s="1293">
        <v>0</v>
      </c>
      <c r="L161" s="1294">
        <v>0</v>
      </c>
      <c r="N161" s="983">
        <f t="shared" si="4"/>
        <v>1</v>
      </c>
      <c r="Z161" s="334"/>
      <c r="AA161" s="334"/>
    </row>
    <row r="162" spans="1:27">
      <c r="A162" s="96">
        <v>300412</v>
      </c>
      <c r="B162" s="1286" t="s">
        <v>113</v>
      </c>
      <c r="C162" s="645" t="s">
        <v>1195</v>
      </c>
      <c r="D162" s="1375"/>
      <c r="E162" s="1299">
        <v>1.234</v>
      </c>
      <c r="F162" s="1398"/>
      <c r="G162" s="1397"/>
      <c r="H162" s="1396"/>
      <c r="I162" s="1372"/>
      <c r="K162" s="1293">
        <v>0</v>
      </c>
      <c r="L162" s="1294">
        <v>0</v>
      </c>
      <c r="N162" s="983">
        <f t="shared" si="4"/>
        <v>1</v>
      </c>
      <c r="Z162" s="334"/>
      <c r="AA162" s="334"/>
    </row>
    <row r="163" spans="1:27">
      <c r="A163" s="96">
        <v>300420</v>
      </c>
      <c r="B163" s="1286" t="s">
        <v>114</v>
      </c>
      <c r="C163" s="645" t="s">
        <v>1195</v>
      </c>
      <c r="D163" s="1375"/>
      <c r="E163" s="1299">
        <v>1.24</v>
      </c>
      <c r="F163" s="1398"/>
      <c r="G163" s="1397"/>
      <c r="H163" s="1396"/>
      <c r="I163" s="1372"/>
      <c r="K163" s="1293">
        <v>0</v>
      </c>
      <c r="L163" s="1294">
        <v>0</v>
      </c>
      <c r="N163" s="983">
        <f t="shared" si="4"/>
        <v>1</v>
      </c>
      <c r="Z163" s="334"/>
      <c r="AA163" s="334"/>
    </row>
    <row r="164" spans="1:27">
      <c r="A164" s="96">
        <v>300423</v>
      </c>
      <c r="B164" s="1286" t="s">
        <v>785</v>
      </c>
      <c r="C164" s="645" t="s">
        <v>1196</v>
      </c>
      <c r="D164" s="1375"/>
      <c r="E164" s="1299">
        <v>1.3859999999999999</v>
      </c>
      <c r="F164" s="1398"/>
      <c r="G164" s="1397"/>
      <c r="H164" s="1396"/>
      <c r="I164" s="1372"/>
      <c r="K164" s="1293">
        <v>1</v>
      </c>
      <c r="L164" s="1294">
        <v>0</v>
      </c>
      <c r="N164" s="983">
        <f t="shared" si="4"/>
        <v>0</v>
      </c>
      <c r="Z164" s="334"/>
      <c r="AA164" s="334"/>
    </row>
    <row r="165" spans="1:27">
      <c r="A165" s="96">
        <v>300428</v>
      </c>
      <c r="B165" s="1286" t="s">
        <v>375</v>
      </c>
      <c r="C165" s="645" t="s">
        <v>1196</v>
      </c>
      <c r="D165" s="1375"/>
      <c r="E165" s="1299">
        <v>1.169</v>
      </c>
      <c r="F165" s="1398"/>
      <c r="G165" s="1397"/>
      <c r="H165" s="1396"/>
      <c r="I165" s="1372"/>
      <c r="K165" s="1293">
        <v>1</v>
      </c>
      <c r="L165" s="1294">
        <v>0</v>
      </c>
      <c r="N165" s="983">
        <f t="shared" si="4"/>
        <v>0</v>
      </c>
      <c r="Z165" s="334"/>
      <c r="AA165" s="334"/>
    </row>
    <row r="166" spans="1:27">
      <c r="A166" s="96">
        <v>300436</v>
      </c>
      <c r="B166" s="1286" t="s">
        <v>115</v>
      </c>
      <c r="C166" s="645" t="s">
        <v>1196</v>
      </c>
      <c r="D166" s="1375"/>
      <c r="E166" s="1299">
        <v>1.5289999999999999</v>
      </c>
      <c r="F166" s="1398"/>
      <c r="G166" s="1397"/>
      <c r="H166" s="1396"/>
      <c r="I166" s="1372"/>
      <c r="K166" s="1293">
        <v>1</v>
      </c>
      <c r="L166" s="1294">
        <v>0</v>
      </c>
      <c r="N166" s="983">
        <f t="shared" si="4"/>
        <v>0</v>
      </c>
      <c r="Z166" s="334"/>
      <c r="AA166" s="334"/>
    </row>
    <row r="167" spans="1:27">
      <c r="A167" s="96">
        <v>300437</v>
      </c>
      <c r="B167" s="1286" t="s">
        <v>116</v>
      </c>
      <c r="C167" s="645" t="s">
        <v>1196</v>
      </c>
      <c r="D167" s="1375"/>
      <c r="E167" s="1299">
        <v>0.36399999999999999</v>
      </c>
      <c r="F167" s="1398"/>
      <c r="G167" s="1397"/>
      <c r="H167" s="1396"/>
      <c r="I167" s="1372"/>
      <c r="K167" s="1293">
        <v>1</v>
      </c>
      <c r="L167" s="1294">
        <v>0</v>
      </c>
      <c r="N167" s="983">
        <f t="shared" si="4"/>
        <v>0</v>
      </c>
      <c r="Z167" s="334"/>
      <c r="AA167" s="334"/>
    </row>
    <row r="168" spans="1:27">
      <c r="A168" s="96">
        <v>300438</v>
      </c>
      <c r="B168" s="1286" t="s">
        <v>117</v>
      </c>
      <c r="C168" s="645" t="s">
        <v>1195</v>
      </c>
      <c r="D168" s="1375"/>
      <c r="E168" s="1299">
        <v>0.75900000000000001</v>
      </c>
      <c r="F168" s="1398"/>
      <c r="G168" s="1397"/>
      <c r="H168" s="1396"/>
      <c r="I168" s="1372"/>
      <c r="K168" s="1293">
        <v>0</v>
      </c>
      <c r="L168" s="1294">
        <v>0</v>
      </c>
      <c r="N168" s="983">
        <f t="shared" si="4"/>
        <v>1</v>
      </c>
      <c r="Z168" s="334"/>
      <c r="AA168" s="334"/>
    </row>
    <row r="169" spans="1:27">
      <c r="A169" s="96">
        <v>300443</v>
      </c>
      <c r="B169" s="1286" t="s">
        <v>278</v>
      </c>
      <c r="C169" s="645" t="s">
        <v>1196</v>
      </c>
      <c r="D169" s="1375"/>
      <c r="E169" s="1299">
        <v>1.3859999999999999</v>
      </c>
      <c r="F169" s="1398"/>
      <c r="G169" s="1397"/>
      <c r="H169" s="1396"/>
      <c r="I169" s="1372"/>
      <c r="K169" s="1293">
        <v>1</v>
      </c>
      <c r="L169" s="1294">
        <v>0</v>
      </c>
      <c r="N169" s="983">
        <f t="shared" si="4"/>
        <v>0</v>
      </c>
      <c r="Z169" s="334"/>
      <c r="AA169" s="334"/>
    </row>
    <row r="170" spans="1:27">
      <c r="A170" s="96">
        <v>300444</v>
      </c>
      <c r="B170" s="1286" t="s">
        <v>118</v>
      </c>
      <c r="C170" s="645" t="s">
        <v>1195</v>
      </c>
      <c r="D170" s="1375"/>
      <c r="E170" s="1299">
        <v>1.093</v>
      </c>
      <c r="F170" s="1398"/>
      <c r="G170" s="1397"/>
      <c r="H170" s="1396"/>
      <c r="I170" s="1372"/>
      <c r="K170" s="1293">
        <v>0</v>
      </c>
      <c r="L170" s="1294">
        <v>0</v>
      </c>
      <c r="N170" s="983">
        <f t="shared" si="4"/>
        <v>1</v>
      </c>
      <c r="Z170" s="334"/>
      <c r="AA170" s="334"/>
    </row>
    <row r="171" spans="1:27">
      <c r="A171" s="96">
        <v>300447</v>
      </c>
      <c r="B171" s="1286" t="s">
        <v>376</v>
      </c>
      <c r="C171" s="645" t="s">
        <v>1196</v>
      </c>
      <c r="D171" s="1375"/>
      <c r="E171" s="1299">
        <v>0.60399999999999998</v>
      </c>
      <c r="F171" s="1398"/>
      <c r="G171" s="1397"/>
      <c r="H171" s="1396"/>
      <c r="I171" s="1372"/>
      <c r="K171" s="1293">
        <v>1</v>
      </c>
      <c r="L171" s="1294">
        <v>0</v>
      </c>
      <c r="N171" s="983">
        <f t="shared" si="4"/>
        <v>0</v>
      </c>
      <c r="Z171" s="334"/>
      <c r="AA171" s="334"/>
    </row>
    <row r="172" spans="1:27">
      <c r="A172" s="96">
        <v>300450</v>
      </c>
      <c r="B172" s="1286" t="s">
        <v>377</v>
      </c>
      <c r="C172" s="645" t="s">
        <v>1196</v>
      </c>
      <c r="D172" s="1375"/>
      <c r="E172" s="1299">
        <v>1.605</v>
      </c>
      <c r="F172" s="1398"/>
      <c r="G172" s="1397"/>
      <c r="H172" s="1396"/>
      <c r="I172" s="1372"/>
      <c r="K172" s="1293">
        <v>1</v>
      </c>
      <c r="L172" s="1294">
        <v>0</v>
      </c>
      <c r="N172" s="983">
        <f t="shared" si="4"/>
        <v>0</v>
      </c>
      <c r="Z172" s="334"/>
      <c r="AA172" s="334"/>
    </row>
    <row r="173" spans="1:27">
      <c r="A173" s="96">
        <v>300451</v>
      </c>
      <c r="B173" s="1286" t="s">
        <v>786</v>
      </c>
      <c r="C173" s="645" t="s">
        <v>1196</v>
      </c>
      <c r="D173" s="1375"/>
      <c r="E173" s="1299">
        <v>1.4159999999999999</v>
      </c>
      <c r="F173" s="1398"/>
      <c r="G173" s="1397"/>
      <c r="H173" s="1396"/>
      <c r="I173" s="1372"/>
      <c r="K173" s="1293">
        <v>1</v>
      </c>
      <c r="L173" s="1294">
        <v>0</v>
      </c>
      <c r="N173" s="983">
        <f t="shared" si="4"/>
        <v>0</v>
      </c>
      <c r="Z173" s="334"/>
      <c r="AA173" s="334"/>
    </row>
    <row r="174" spans="1:27">
      <c r="A174" s="96">
        <v>300452</v>
      </c>
      <c r="B174" s="1286" t="s">
        <v>378</v>
      </c>
      <c r="C174" s="645" t="s">
        <v>1196</v>
      </c>
      <c r="D174" s="1375"/>
      <c r="E174" s="1299">
        <v>0.36399999999999999</v>
      </c>
      <c r="F174" s="1398"/>
      <c r="G174" s="1397"/>
      <c r="H174" s="1396"/>
      <c r="I174" s="1372"/>
      <c r="K174" s="1293">
        <v>1</v>
      </c>
      <c r="L174" s="1294">
        <v>0</v>
      </c>
      <c r="N174" s="983">
        <f t="shared" si="4"/>
        <v>0</v>
      </c>
      <c r="Z174" s="334"/>
      <c r="AA174" s="334"/>
    </row>
    <row r="175" spans="1:27">
      <c r="A175" s="96">
        <v>300453</v>
      </c>
      <c r="B175" s="1286" t="s">
        <v>119</v>
      </c>
      <c r="C175" s="645" t="s">
        <v>1196</v>
      </c>
      <c r="D175" s="1375"/>
      <c r="E175" s="1299">
        <v>1.4550000000000001</v>
      </c>
      <c r="F175" s="1398"/>
      <c r="G175" s="1397"/>
      <c r="H175" s="1396"/>
      <c r="I175" s="1372"/>
      <c r="K175" s="1293">
        <v>1</v>
      </c>
      <c r="L175" s="1294">
        <v>0</v>
      </c>
      <c r="N175" s="983">
        <f t="shared" si="4"/>
        <v>0</v>
      </c>
      <c r="Z175" s="334"/>
      <c r="AA175" s="334"/>
    </row>
    <row r="176" spans="1:27">
      <c r="A176" s="96">
        <v>300464</v>
      </c>
      <c r="B176" s="1286" t="s">
        <v>787</v>
      </c>
      <c r="C176" s="645" t="s">
        <v>1196</v>
      </c>
      <c r="D176" s="1375"/>
      <c r="E176" s="1299">
        <v>1.4390000000000001</v>
      </c>
      <c r="F176" s="1398"/>
      <c r="G176" s="1397"/>
      <c r="H176" s="1396"/>
      <c r="I176" s="1372"/>
      <c r="K176" s="1293">
        <v>1</v>
      </c>
      <c r="L176" s="1294">
        <v>0</v>
      </c>
      <c r="N176" s="983">
        <f t="shared" si="4"/>
        <v>0</v>
      </c>
      <c r="Z176" s="334"/>
      <c r="AA176" s="334"/>
    </row>
    <row r="177" spans="1:27">
      <c r="A177" s="96">
        <v>300465</v>
      </c>
      <c r="B177" s="1286" t="s">
        <v>120</v>
      </c>
      <c r="C177" s="645" t="s">
        <v>1196</v>
      </c>
      <c r="D177" s="1375"/>
      <c r="E177" s="1299">
        <v>1.4390000000000001</v>
      </c>
      <c r="F177" s="1398"/>
      <c r="G177" s="1397"/>
      <c r="H177" s="1396"/>
      <c r="I177" s="1372"/>
      <c r="K177" s="1293">
        <v>1</v>
      </c>
      <c r="L177" s="1294">
        <v>0</v>
      </c>
      <c r="N177" s="983">
        <f t="shared" si="4"/>
        <v>0</v>
      </c>
      <c r="Z177" s="334"/>
      <c r="AA177" s="334"/>
    </row>
    <row r="178" spans="1:27">
      <c r="A178" s="96">
        <v>300467</v>
      </c>
      <c r="B178" s="1286" t="s">
        <v>121</v>
      </c>
      <c r="C178" s="645" t="s">
        <v>1195</v>
      </c>
      <c r="D178" s="1375"/>
      <c r="E178" s="1299">
        <v>1.51</v>
      </c>
      <c r="F178" s="1398"/>
      <c r="G178" s="1397"/>
      <c r="H178" s="1396"/>
      <c r="I178" s="1372"/>
      <c r="K178" s="1293">
        <v>0</v>
      </c>
      <c r="L178" s="1294">
        <v>0</v>
      </c>
      <c r="N178" s="983">
        <f t="shared" si="4"/>
        <v>1</v>
      </c>
      <c r="Z178" s="334"/>
      <c r="AA178" s="334"/>
    </row>
    <row r="179" spans="1:27">
      <c r="A179" s="96">
        <v>300469</v>
      </c>
      <c r="B179" s="1286" t="s">
        <v>122</v>
      </c>
      <c r="C179" s="645" t="s">
        <v>1195</v>
      </c>
      <c r="D179" s="1375"/>
      <c r="E179" s="1299">
        <v>1.24</v>
      </c>
      <c r="F179" s="1398"/>
      <c r="G179" s="1397"/>
      <c r="H179" s="1396"/>
      <c r="I179" s="1372"/>
      <c r="K179" s="1293">
        <v>0</v>
      </c>
      <c r="L179" s="1294">
        <v>0</v>
      </c>
      <c r="N179" s="983">
        <f t="shared" si="4"/>
        <v>1</v>
      </c>
      <c r="Z179" s="334"/>
      <c r="AA179" s="334"/>
    </row>
    <row r="180" spans="1:27">
      <c r="A180" s="96">
        <v>300486</v>
      </c>
      <c r="B180" s="1286" t="s">
        <v>123</v>
      </c>
      <c r="C180" s="645" t="s">
        <v>1196</v>
      </c>
      <c r="D180" s="1375"/>
      <c r="E180" s="1299">
        <v>0.64200000000000002</v>
      </c>
      <c r="F180" s="1398"/>
      <c r="G180" s="1397"/>
      <c r="H180" s="1396"/>
      <c r="I180" s="1372"/>
      <c r="K180" s="1293">
        <v>1</v>
      </c>
      <c r="L180" s="1294">
        <v>0</v>
      </c>
      <c r="N180" s="983">
        <f t="shared" si="4"/>
        <v>0</v>
      </c>
      <c r="Z180" s="334"/>
      <c r="AA180" s="334"/>
    </row>
    <row r="181" spans="1:27">
      <c r="A181" s="96">
        <v>300487</v>
      </c>
      <c r="B181" s="1286" t="s">
        <v>124</v>
      </c>
      <c r="C181" s="645" t="s">
        <v>1196</v>
      </c>
      <c r="D181" s="1375"/>
      <c r="E181" s="1299">
        <v>1.7450000000000001</v>
      </c>
      <c r="F181" s="1398"/>
      <c r="G181" s="1397"/>
      <c r="H181" s="1396"/>
      <c r="I181" s="1372"/>
      <c r="K181" s="1293">
        <v>1</v>
      </c>
      <c r="L181" s="1294">
        <v>0</v>
      </c>
      <c r="N181" s="983">
        <f t="shared" si="4"/>
        <v>0</v>
      </c>
      <c r="Z181" s="334"/>
      <c r="AA181" s="334"/>
    </row>
    <row r="182" spans="1:27">
      <c r="A182" s="96">
        <v>300489</v>
      </c>
      <c r="B182" s="1286" t="s">
        <v>788</v>
      </c>
      <c r="C182" s="645" t="s">
        <v>1196</v>
      </c>
      <c r="D182" s="1375"/>
      <c r="E182" s="1299">
        <v>0.33900000000000002</v>
      </c>
      <c r="F182" s="1398"/>
      <c r="G182" s="1397"/>
      <c r="H182" s="1396"/>
      <c r="I182" s="1372"/>
      <c r="K182" s="1293">
        <v>1</v>
      </c>
      <c r="L182" s="1294">
        <v>0</v>
      </c>
      <c r="N182" s="983">
        <f t="shared" si="4"/>
        <v>0</v>
      </c>
      <c r="Z182" s="334"/>
      <c r="AA182" s="334"/>
    </row>
    <row r="183" spans="1:27">
      <c r="A183" s="96">
        <v>300491</v>
      </c>
      <c r="B183" s="1286" t="s">
        <v>789</v>
      </c>
      <c r="C183" s="645" t="s">
        <v>1196</v>
      </c>
      <c r="D183" s="1375"/>
      <c r="E183" s="1299">
        <v>1.4390000000000001</v>
      </c>
      <c r="F183" s="1398"/>
      <c r="G183" s="1397"/>
      <c r="H183" s="1396"/>
      <c r="I183" s="1372"/>
      <c r="K183" s="1293">
        <v>1</v>
      </c>
      <c r="L183" s="1294">
        <v>0</v>
      </c>
      <c r="N183" s="983">
        <f t="shared" si="4"/>
        <v>0</v>
      </c>
      <c r="Z183" s="334"/>
      <c r="AA183" s="334"/>
    </row>
    <row r="184" spans="1:27">
      <c r="A184" s="96">
        <v>300492</v>
      </c>
      <c r="B184" s="1286" t="s">
        <v>790</v>
      </c>
      <c r="C184" s="645" t="s">
        <v>1196</v>
      </c>
      <c r="D184" s="1375"/>
      <c r="E184" s="1299">
        <v>1.7030000000000001</v>
      </c>
      <c r="F184" s="1398"/>
      <c r="G184" s="1397"/>
      <c r="H184" s="1396"/>
      <c r="I184" s="1372"/>
      <c r="K184" s="1293">
        <v>1</v>
      </c>
      <c r="L184" s="1294">
        <v>0</v>
      </c>
      <c r="N184" s="983">
        <f t="shared" si="4"/>
        <v>0</v>
      </c>
      <c r="Z184" s="334"/>
      <c r="AA184" s="334"/>
    </row>
    <row r="185" spans="1:27">
      <c r="A185" s="96">
        <v>300495</v>
      </c>
      <c r="B185" s="1286" t="s">
        <v>248</v>
      </c>
      <c r="C185" s="645" t="s">
        <v>1196</v>
      </c>
      <c r="D185" s="1375"/>
      <c r="E185" s="1299">
        <v>1.5289999999999999</v>
      </c>
      <c r="F185" s="1398"/>
      <c r="G185" s="1397"/>
      <c r="H185" s="1396"/>
      <c r="I185" s="1372"/>
      <c r="K185" s="1293">
        <v>1</v>
      </c>
      <c r="L185" s="1294">
        <v>0</v>
      </c>
      <c r="N185" s="983">
        <f t="shared" si="4"/>
        <v>0</v>
      </c>
      <c r="Z185" s="334"/>
      <c r="AA185" s="334"/>
    </row>
    <row r="186" spans="1:27">
      <c r="A186" s="96">
        <v>300500</v>
      </c>
      <c r="B186" s="1286" t="s">
        <v>279</v>
      </c>
      <c r="C186" s="645" t="s">
        <v>1195</v>
      </c>
      <c r="D186" s="1375"/>
      <c r="E186" s="1299">
        <v>1.093</v>
      </c>
      <c r="F186" s="1398"/>
      <c r="G186" s="1397"/>
      <c r="H186" s="1396"/>
      <c r="I186" s="1372"/>
      <c r="K186" s="1293">
        <v>0</v>
      </c>
      <c r="L186" s="1294">
        <v>0</v>
      </c>
      <c r="N186" s="983">
        <f t="shared" si="4"/>
        <v>1</v>
      </c>
      <c r="Z186" s="334"/>
      <c r="AA186" s="334"/>
    </row>
    <row r="187" spans="1:27">
      <c r="A187" s="96">
        <v>300501</v>
      </c>
      <c r="B187" s="1286" t="s">
        <v>249</v>
      </c>
      <c r="C187" s="645" t="s">
        <v>1196</v>
      </c>
      <c r="D187" s="1375"/>
      <c r="E187" s="1299">
        <v>1.04</v>
      </c>
      <c r="F187" s="1398"/>
      <c r="G187" s="1397"/>
      <c r="H187" s="1396"/>
      <c r="I187" s="1372"/>
      <c r="K187" s="1293">
        <v>1</v>
      </c>
      <c r="L187" s="1294">
        <v>0</v>
      </c>
      <c r="N187" s="983">
        <f t="shared" si="4"/>
        <v>0</v>
      </c>
      <c r="Z187" s="334"/>
      <c r="AA187" s="334"/>
    </row>
    <row r="188" spans="1:27">
      <c r="A188" s="96">
        <v>300507</v>
      </c>
      <c r="B188" s="1286" t="s">
        <v>125</v>
      </c>
      <c r="C188" s="645" t="s">
        <v>1195</v>
      </c>
      <c r="D188" s="1375"/>
      <c r="E188" s="1299">
        <v>1.64</v>
      </c>
      <c r="F188" s="1398"/>
      <c r="G188" s="1397"/>
      <c r="H188" s="1396"/>
      <c r="I188" s="1372"/>
      <c r="K188" s="1293">
        <v>0</v>
      </c>
      <c r="L188" s="1294">
        <v>0</v>
      </c>
      <c r="N188" s="983">
        <f t="shared" si="4"/>
        <v>1</v>
      </c>
      <c r="Z188" s="334"/>
      <c r="AA188" s="334"/>
    </row>
    <row r="189" spans="1:27">
      <c r="A189" s="96">
        <v>300516</v>
      </c>
      <c r="B189" s="1286" t="s">
        <v>791</v>
      </c>
      <c r="C189" s="645" t="s">
        <v>1196</v>
      </c>
      <c r="D189" s="1375"/>
      <c r="E189" s="1299">
        <v>1.117</v>
      </c>
      <c r="F189" s="1398"/>
      <c r="G189" s="1397"/>
      <c r="H189" s="1396"/>
      <c r="I189" s="1372"/>
      <c r="K189" s="1293">
        <v>1</v>
      </c>
      <c r="L189" s="1294">
        <v>0</v>
      </c>
      <c r="N189" s="983">
        <f t="shared" si="4"/>
        <v>0</v>
      </c>
      <c r="Z189" s="334"/>
      <c r="AA189" s="334"/>
    </row>
    <row r="190" spans="1:27">
      <c r="A190" s="96">
        <v>300524</v>
      </c>
      <c r="B190" s="1286" t="s">
        <v>126</v>
      </c>
      <c r="C190" s="645" t="s">
        <v>1196</v>
      </c>
      <c r="D190" s="1375"/>
      <c r="E190" s="1299">
        <v>1.708</v>
      </c>
      <c r="F190" s="1398"/>
      <c r="G190" s="1397"/>
      <c r="H190" s="1396"/>
      <c r="I190" s="1372"/>
      <c r="K190" s="1293">
        <v>1</v>
      </c>
      <c r="L190" s="1294">
        <v>0</v>
      </c>
      <c r="N190" s="983">
        <f t="shared" si="4"/>
        <v>0</v>
      </c>
      <c r="Z190" s="334"/>
      <c r="AA190" s="334"/>
    </row>
    <row r="191" spans="1:27">
      <c r="A191" s="96">
        <v>300527</v>
      </c>
      <c r="B191" s="1286" t="s">
        <v>250</v>
      </c>
      <c r="C191" s="645" t="s">
        <v>1196</v>
      </c>
      <c r="D191" s="1375"/>
      <c r="E191" s="1299">
        <v>1.607</v>
      </c>
      <c r="F191" s="1398"/>
      <c r="G191" s="1397"/>
      <c r="H191" s="1396"/>
      <c r="I191" s="1372"/>
      <c r="K191" s="1293">
        <v>1</v>
      </c>
      <c r="L191" s="1294">
        <v>0</v>
      </c>
      <c r="N191" s="983">
        <f t="shared" si="4"/>
        <v>0</v>
      </c>
      <c r="Z191" s="334"/>
      <c r="AA191" s="334"/>
    </row>
    <row r="192" spans="1:27">
      <c r="A192" s="96">
        <v>300530</v>
      </c>
      <c r="B192" s="1286" t="s">
        <v>127</v>
      </c>
      <c r="C192" s="645" t="s">
        <v>1196</v>
      </c>
      <c r="D192" s="1375"/>
      <c r="E192" s="1299">
        <v>0.33900000000000002</v>
      </c>
      <c r="F192" s="1398"/>
      <c r="G192" s="1397"/>
      <c r="H192" s="1396"/>
      <c r="I192" s="1372"/>
      <c r="K192" s="1293">
        <v>1</v>
      </c>
      <c r="L192" s="1294">
        <v>0</v>
      </c>
      <c r="N192" s="983">
        <f t="shared" si="4"/>
        <v>0</v>
      </c>
      <c r="Z192" s="334"/>
      <c r="AA192" s="334"/>
    </row>
    <row r="193" spans="1:27">
      <c r="A193" s="96">
        <v>300533</v>
      </c>
      <c r="B193" s="1286" t="s">
        <v>128</v>
      </c>
      <c r="C193" s="645" t="s">
        <v>1196</v>
      </c>
      <c r="D193" s="1375"/>
      <c r="E193" s="1299">
        <v>1.833</v>
      </c>
      <c r="F193" s="1398"/>
      <c r="G193" s="1397"/>
      <c r="H193" s="1396"/>
      <c r="I193" s="1372"/>
      <c r="K193" s="1293">
        <v>1</v>
      </c>
      <c r="L193" s="1294">
        <v>0</v>
      </c>
      <c r="N193" s="983">
        <f t="shared" si="4"/>
        <v>0</v>
      </c>
      <c r="Z193" s="334"/>
      <c r="AA193" s="334"/>
    </row>
    <row r="194" spans="1:27">
      <c r="A194" s="96">
        <v>300534</v>
      </c>
      <c r="B194" s="1286" t="s">
        <v>792</v>
      </c>
      <c r="C194" s="645" t="s">
        <v>1196</v>
      </c>
      <c r="D194" s="1375"/>
      <c r="E194" s="1299">
        <v>1.3859999999999999</v>
      </c>
      <c r="F194" s="1398"/>
      <c r="G194" s="1397"/>
      <c r="H194" s="1396"/>
      <c r="I194" s="1372"/>
      <c r="K194" s="1293">
        <v>1</v>
      </c>
      <c r="L194" s="1294">
        <v>0</v>
      </c>
      <c r="N194" s="983">
        <f t="shared" si="4"/>
        <v>0</v>
      </c>
      <c r="Z194" s="334"/>
      <c r="AA194" s="334"/>
    </row>
    <row r="195" spans="1:27">
      <c r="A195" s="96">
        <v>300541</v>
      </c>
      <c r="B195" s="1286" t="s">
        <v>793</v>
      </c>
      <c r="C195" s="645" t="s">
        <v>1196</v>
      </c>
      <c r="D195" s="1375"/>
      <c r="E195" s="1299">
        <v>0.86599999999999999</v>
      </c>
      <c r="F195" s="1398"/>
      <c r="G195" s="1397"/>
      <c r="H195" s="1396"/>
      <c r="I195" s="1372"/>
      <c r="K195" s="1293">
        <v>1</v>
      </c>
      <c r="L195" s="1294">
        <v>0</v>
      </c>
      <c r="N195" s="983">
        <f t="shared" si="4"/>
        <v>0</v>
      </c>
      <c r="Z195" s="334"/>
      <c r="AA195" s="334"/>
    </row>
    <row r="196" spans="1:27">
      <c r="A196" s="96">
        <v>300542</v>
      </c>
      <c r="B196" s="1286" t="s">
        <v>251</v>
      </c>
      <c r="C196" s="645" t="s">
        <v>1196</v>
      </c>
      <c r="D196" s="1375"/>
      <c r="E196" s="1299">
        <v>0.26400000000000001</v>
      </c>
      <c r="F196" s="1398"/>
      <c r="G196" s="1397"/>
      <c r="H196" s="1396"/>
      <c r="I196" s="1372"/>
      <c r="K196" s="1293">
        <v>1</v>
      </c>
      <c r="L196" s="1294">
        <v>0</v>
      </c>
      <c r="N196" s="983">
        <f t="shared" si="4"/>
        <v>0</v>
      </c>
      <c r="Z196" s="334"/>
      <c r="AA196" s="334"/>
    </row>
    <row r="197" spans="1:27">
      <c r="A197" s="96">
        <v>300544</v>
      </c>
      <c r="B197" s="1286" t="s">
        <v>129</v>
      </c>
      <c r="C197" s="645" t="s">
        <v>1196</v>
      </c>
      <c r="D197" s="1375"/>
      <c r="E197" s="1299">
        <v>0.34699999999999998</v>
      </c>
      <c r="F197" s="1398"/>
      <c r="G197" s="1397"/>
      <c r="H197" s="1396"/>
      <c r="I197" s="1372"/>
      <c r="K197" s="1293">
        <v>1</v>
      </c>
      <c r="L197" s="1294">
        <v>0</v>
      </c>
      <c r="N197" s="983">
        <f t="shared" si="4"/>
        <v>0</v>
      </c>
      <c r="Z197" s="334"/>
      <c r="AA197" s="334"/>
    </row>
    <row r="198" spans="1:27">
      <c r="A198" s="96">
        <v>300546</v>
      </c>
      <c r="B198" s="1286" t="s">
        <v>130</v>
      </c>
      <c r="C198" s="645" t="s">
        <v>1196</v>
      </c>
      <c r="D198" s="1375"/>
      <c r="E198" s="1299">
        <v>0.87</v>
      </c>
      <c r="F198" s="1398"/>
      <c r="G198" s="1397"/>
      <c r="H198" s="1396"/>
      <c r="I198" s="1372"/>
      <c r="K198" s="1293">
        <v>1</v>
      </c>
      <c r="L198" s="1294">
        <v>0</v>
      </c>
      <c r="N198" s="983">
        <f t="shared" si="4"/>
        <v>0</v>
      </c>
      <c r="Z198" s="334"/>
      <c r="AA198" s="334"/>
    </row>
    <row r="199" spans="1:27">
      <c r="A199" s="96">
        <v>300549</v>
      </c>
      <c r="B199" s="1286" t="s">
        <v>131</v>
      </c>
      <c r="C199" s="645" t="s">
        <v>1196</v>
      </c>
      <c r="D199" s="1375"/>
      <c r="E199" s="1299">
        <v>1.3859999999999999</v>
      </c>
      <c r="F199" s="1398"/>
      <c r="G199" s="1397"/>
      <c r="H199" s="1396"/>
      <c r="I199" s="1372"/>
      <c r="K199" s="1293">
        <v>1</v>
      </c>
      <c r="L199" s="1294">
        <v>0</v>
      </c>
      <c r="N199" s="983">
        <f t="shared" si="4"/>
        <v>0</v>
      </c>
      <c r="Z199" s="334"/>
      <c r="AA199" s="334"/>
    </row>
    <row r="200" spans="1:27">
      <c r="A200" s="96">
        <v>300552</v>
      </c>
      <c r="B200" s="1286" t="s">
        <v>794</v>
      </c>
      <c r="C200" s="645" t="s">
        <v>1196</v>
      </c>
      <c r="D200" s="1375"/>
      <c r="E200" s="1299">
        <v>1.1040000000000001</v>
      </c>
      <c r="F200" s="1398"/>
      <c r="G200" s="1397"/>
      <c r="H200" s="1396"/>
      <c r="I200" s="1372"/>
      <c r="K200" s="1293">
        <v>1</v>
      </c>
      <c r="L200" s="1294">
        <v>0</v>
      </c>
      <c r="N200" s="983">
        <f t="shared" si="4"/>
        <v>0</v>
      </c>
      <c r="Z200" s="334"/>
      <c r="AA200" s="334"/>
    </row>
    <row r="201" spans="1:27">
      <c r="A201" s="96">
        <v>300553</v>
      </c>
      <c r="B201" s="1286" t="s">
        <v>132</v>
      </c>
      <c r="C201" s="645" t="s">
        <v>1196</v>
      </c>
      <c r="D201" s="1375"/>
      <c r="E201" s="1299">
        <v>0.34699999999999998</v>
      </c>
      <c r="F201" s="1398"/>
      <c r="G201" s="1397"/>
      <c r="H201" s="1396"/>
      <c r="I201" s="1372"/>
      <c r="K201" s="1293">
        <v>1</v>
      </c>
      <c r="L201" s="1294">
        <v>0</v>
      </c>
      <c r="N201" s="983">
        <f t="shared" si="4"/>
        <v>0</v>
      </c>
      <c r="Z201" s="334"/>
      <c r="AA201" s="334"/>
    </row>
    <row r="202" spans="1:27">
      <c r="A202" s="96">
        <v>300555</v>
      </c>
      <c r="B202" s="1286" t="s">
        <v>146</v>
      </c>
      <c r="C202" s="645" t="s">
        <v>1195</v>
      </c>
      <c r="D202" s="1375"/>
      <c r="E202" s="1299">
        <v>1.24</v>
      </c>
      <c r="F202" s="1398"/>
      <c r="G202" s="1397"/>
      <c r="H202" s="1396"/>
      <c r="I202" s="1372"/>
      <c r="K202" s="1293">
        <v>0</v>
      </c>
      <c r="L202" s="1294">
        <v>0</v>
      </c>
      <c r="N202" s="983">
        <f t="shared" ref="N202:N265" si="5">IF(C202="local distribution point",1,0)</f>
        <v>1</v>
      </c>
      <c r="Z202" s="334"/>
      <c r="AA202" s="334"/>
    </row>
    <row r="203" spans="1:27">
      <c r="A203" s="96">
        <v>300556</v>
      </c>
      <c r="B203" s="1286" t="s">
        <v>147</v>
      </c>
      <c r="C203" s="645" t="s">
        <v>1196</v>
      </c>
      <c r="D203" s="1375"/>
      <c r="E203" s="1299">
        <v>1.34</v>
      </c>
      <c r="F203" s="1398"/>
      <c r="G203" s="1397"/>
      <c r="H203" s="1396"/>
      <c r="I203" s="1372"/>
      <c r="K203" s="1293">
        <v>1</v>
      </c>
      <c r="L203" s="1294">
        <v>0</v>
      </c>
      <c r="N203" s="983">
        <f t="shared" si="5"/>
        <v>0</v>
      </c>
      <c r="P203" s="996"/>
      <c r="Z203" s="334"/>
      <c r="AA203" s="334"/>
    </row>
    <row r="204" spans="1:27">
      <c r="A204" s="96">
        <v>300558</v>
      </c>
      <c r="B204" s="1286" t="s">
        <v>148</v>
      </c>
      <c r="C204" s="645" t="s">
        <v>1196</v>
      </c>
      <c r="D204" s="1375"/>
      <c r="E204" s="1299">
        <v>0.80400000000000005</v>
      </c>
      <c r="F204" s="1398"/>
      <c r="G204" s="1397"/>
      <c r="H204" s="1396"/>
      <c r="I204" s="1372"/>
      <c r="K204" s="1293">
        <v>1</v>
      </c>
      <c r="L204" s="1294">
        <v>0</v>
      </c>
      <c r="N204" s="983">
        <f t="shared" si="5"/>
        <v>0</v>
      </c>
      <c r="Z204" s="334"/>
      <c r="AA204" s="334"/>
    </row>
    <row r="205" spans="1:27">
      <c r="A205" s="96">
        <v>300563</v>
      </c>
      <c r="B205" s="1286" t="s">
        <v>280</v>
      </c>
      <c r="C205" s="645" t="s">
        <v>1195</v>
      </c>
      <c r="D205" s="1375"/>
      <c r="E205" s="1299">
        <v>0.79800000000000004</v>
      </c>
      <c r="F205" s="1398"/>
      <c r="G205" s="1397"/>
      <c r="H205" s="1396"/>
      <c r="I205" s="1372"/>
      <c r="K205" s="1293">
        <v>0</v>
      </c>
      <c r="L205" s="1294">
        <v>0</v>
      </c>
      <c r="N205" s="983">
        <f t="shared" si="5"/>
        <v>1</v>
      </c>
      <c r="Z205" s="334"/>
      <c r="AA205" s="334"/>
    </row>
    <row r="206" spans="1:27">
      <c r="A206" s="96">
        <v>300564</v>
      </c>
      <c r="B206" s="1286" t="s">
        <v>281</v>
      </c>
      <c r="C206" s="645" t="s">
        <v>1195</v>
      </c>
      <c r="D206" s="1375"/>
      <c r="E206" s="1299">
        <v>2.0590000000000002</v>
      </c>
      <c r="F206" s="1398"/>
      <c r="G206" s="1397"/>
      <c r="H206" s="1396"/>
      <c r="I206" s="1372"/>
      <c r="K206" s="1293">
        <v>0</v>
      </c>
      <c r="L206" s="1294">
        <v>0</v>
      </c>
      <c r="N206" s="983">
        <f t="shared" si="5"/>
        <v>1</v>
      </c>
      <c r="Z206" s="334"/>
      <c r="AA206" s="334"/>
    </row>
    <row r="207" spans="1:27">
      <c r="A207" s="96">
        <v>300569</v>
      </c>
      <c r="B207" s="1286" t="s">
        <v>282</v>
      </c>
      <c r="C207" s="645" t="s">
        <v>1195</v>
      </c>
      <c r="D207" s="1375"/>
      <c r="E207" s="1299">
        <v>2.1800000000000002</v>
      </c>
      <c r="F207" s="1398"/>
      <c r="G207" s="1397"/>
      <c r="H207" s="1396"/>
      <c r="I207" s="1372"/>
      <c r="K207" s="1293">
        <v>0</v>
      </c>
      <c r="L207" s="1294">
        <v>0</v>
      </c>
      <c r="N207" s="983">
        <f t="shared" si="5"/>
        <v>1</v>
      </c>
      <c r="P207" s="996"/>
      <c r="Z207" s="334"/>
      <c r="AA207" s="334"/>
    </row>
    <row r="208" spans="1:27">
      <c r="A208" s="96">
        <v>300571</v>
      </c>
      <c r="B208" s="1286" t="s">
        <v>283</v>
      </c>
      <c r="C208" s="645" t="s">
        <v>1195</v>
      </c>
      <c r="D208" s="1375"/>
      <c r="E208" s="1299">
        <v>1.274</v>
      </c>
      <c r="F208" s="1398"/>
      <c r="G208" s="1397"/>
      <c r="H208" s="1396"/>
      <c r="I208" s="1372"/>
      <c r="K208" s="1293">
        <v>0</v>
      </c>
      <c r="L208" s="1294">
        <v>0</v>
      </c>
      <c r="N208" s="983">
        <f t="shared" si="5"/>
        <v>1</v>
      </c>
      <c r="Z208" s="334"/>
      <c r="AA208" s="334"/>
    </row>
    <row r="209" spans="1:27">
      <c r="A209" s="96">
        <v>300572</v>
      </c>
      <c r="B209" s="1286" t="s">
        <v>150</v>
      </c>
      <c r="C209" s="645" t="s">
        <v>1196</v>
      </c>
      <c r="D209" s="1375"/>
      <c r="E209" s="1299">
        <v>1.401</v>
      </c>
      <c r="F209" s="1398"/>
      <c r="G209" s="1397"/>
      <c r="H209" s="1396"/>
      <c r="I209" s="1372"/>
      <c r="K209" s="1293">
        <v>1</v>
      </c>
      <c r="L209" s="1294">
        <v>0</v>
      </c>
      <c r="N209" s="983">
        <f t="shared" si="5"/>
        <v>0</v>
      </c>
      <c r="Z209" s="334"/>
      <c r="AA209" s="334"/>
    </row>
    <row r="210" spans="1:27">
      <c r="A210" s="96">
        <v>300573</v>
      </c>
      <c r="B210" s="1286" t="s">
        <v>151</v>
      </c>
      <c r="C210" s="645" t="s">
        <v>1196</v>
      </c>
      <c r="D210" s="1375"/>
      <c r="E210" s="1299">
        <v>1.3009999999999999</v>
      </c>
      <c r="F210" s="1398"/>
      <c r="G210" s="1397"/>
      <c r="H210" s="1396"/>
      <c r="I210" s="1372"/>
      <c r="K210" s="1293">
        <v>1</v>
      </c>
      <c r="L210" s="1294">
        <v>0</v>
      </c>
      <c r="N210" s="983">
        <f t="shared" si="5"/>
        <v>0</v>
      </c>
      <c r="Z210" s="334"/>
      <c r="AA210" s="334"/>
    </row>
    <row r="211" spans="1:27">
      <c r="A211" s="96">
        <v>300582</v>
      </c>
      <c r="B211" s="1286" t="s">
        <v>152</v>
      </c>
      <c r="C211" s="645" t="s">
        <v>1195</v>
      </c>
      <c r="D211" s="1375"/>
      <c r="E211" s="1299">
        <v>2.1800000000000002</v>
      </c>
      <c r="F211" s="1398"/>
      <c r="G211" s="1397"/>
      <c r="H211" s="1396"/>
      <c r="I211" s="1372"/>
      <c r="K211" s="1293">
        <v>0</v>
      </c>
      <c r="L211" s="1294">
        <v>0</v>
      </c>
      <c r="N211" s="983">
        <f t="shared" si="5"/>
        <v>1</v>
      </c>
      <c r="Z211" s="334"/>
      <c r="AA211" s="334"/>
    </row>
    <row r="212" spans="1:27">
      <c r="A212" s="96">
        <v>300585</v>
      </c>
      <c r="B212" s="1286" t="s">
        <v>284</v>
      </c>
      <c r="C212" s="645" t="s">
        <v>1195</v>
      </c>
      <c r="D212" s="1375"/>
      <c r="E212" s="1299">
        <v>2.1659999999999999</v>
      </c>
      <c r="F212" s="1398"/>
      <c r="G212" s="1397"/>
      <c r="H212" s="1396"/>
      <c r="I212" s="1372"/>
      <c r="K212" s="1293">
        <v>0</v>
      </c>
      <c r="L212" s="1294">
        <v>0</v>
      </c>
      <c r="N212" s="983">
        <f t="shared" si="5"/>
        <v>1</v>
      </c>
      <c r="Z212" s="334"/>
      <c r="AA212" s="334"/>
    </row>
    <row r="213" spans="1:27">
      <c r="A213" s="96">
        <v>300587</v>
      </c>
      <c r="B213" s="1286" t="s">
        <v>153</v>
      </c>
      <c r="C213" s="645" t="s">
        <v>1196</v>
      </c>
      <c r="D213" s="1375"/>
      <c r="E213" s="1299">
        <v>1.23</v>
      </c>
      <c r="F213" s="1398"/>
      <c r="G213" s="1397"/>
      <c r="H213" s="1396"/>
      <c r="I213" s="1372"/>
      <c r="K213" s="1293">
        <v>1</v>
      </c>
      <c r="L213" s="1294">
        <v>0</v>
      </c>
      <c r="N213" s="983">
        <f t="shared" si="5"/>
        <v>0</v>
      </c>
      <c r="Z213" s="334"/>
      <c r="AA213" s="334"/>
    </row>
    <row r="214" spans="1:27">
      <c r="A214" s="96">
        <v>300591</v>
      </c>
      <c r="B214" s="1286" t="s">
        <v>285</v>
      </c>
      <c r="C214" s="645" t="s">
        <v>1195</v>
      </c>
      <c r="D214" s="1375"/>
      <c r="E214" s="1299">
        <v>1.294</v>
      </c>
      <c r="F214" s="1398"/>
      <c r="G214" s="1397"/>
      <c r="H214" s="1396"/>
      <c r="I214" s="1372"/>
      <c r="K214" s="1293">
        <v>0</v>
      </c>
      <c r="L214" s="1294">
        <v>0</v>
      </c>
      <c r="N214" s="983">
        <f t="shared" si="5"/>
        <v>1</v>
      </c>
      <c r="Z214" s="334"/>
      <c r="AA214" s="334"/>
    </row>
    <row r="215" spans="1:27">
      <c r="A215" s="96">
        <v>300592</v>
      </c>
      <c r="B215" s="1286" t="s">
        <v>286</v>
      </c>
      <c r="C215" s="645" t="s">
        <v>1195</v>
      </c>
      <c r="D215" s="1375"/>
      <c r="E215" s="1299">
        <v>1.8049999999999999</v>
      </c>
      <c r="F215" s="1398"/>
      <c r="G215" s="1397"/>
      <c r="H215" s="1396"/>
      <c r="I215" s="1372"/>
      <c r="K215" s="1293">
        <v>0</v>
      </c>
      <c r="L215" s="1294">
        <v>0</v>
      </c>
      <c r="N215" s="983">
        <f t="shared" si="5"/>
        <v>1</v>
      </c>
      <c r="Z215" s="334"/>
      <c r="AA215" s="334"/>
    </row>
    <row r="216" spans="1:27">
      <c r="A216" s="96">
        <v>300595</v>
      </c>
      <c r="B216" s="1286" t="s">
        <v>795</v>
      </c>
      <c r="C216" s="645" t="s">
        <v>1195</v>
      </c>
      <c r="D216" s="1375"/>
      <c r="E216" s="1299">
        <v>1.8560000000000001</v>
      </c>
      <c r="F216" s="1398"/>
      <c r="G216" s="1397"/>
      <c r="H216" s="1396"/>
      <c r="I216" s="1372"/>
      <c r="K216" s="1293">
        <v>0</v>
      </c>
      <c r="L216" s="1294">
        <v>0</v>
      </c>
      <c r="N216" s="983">
        <f t="shared" si="5"/>
        <v>1</v>
      </c>
      <c r="Z216" s="334"/>
      <c r="AA216" s="334"/>
    </row>
    <row r="217" spans="1:27">
      <c r="A217" s="96">
        <v>300596</v>
      </c>
      <c r="B217" s="1286" t="s">
        <v>287</v>
      </c>
      <c r="C217" s="645" t="s">
        <v>1195</v>
      </c>
      <c r="D217" s="1375"/>
      <c r="E217" s="1299">
        <v>2.0590000000000002</v>
      </c>
      <c r="F217" s="1398"/>
      <c r="G217" s="1397"/>
      <c r="H217" s="1396"/>
      <c r="I217" s="1372"/>
      <c r="K217" s="1293">
        <v>0</v>
      </c>
      <c r="L217" s="1294">
        <v>0</v>
      </c>
      <c r="N217" s="983">
        <f t="shared" si="5"/>
        <v>1</v>
      </c>
      <c r="Z217" s="334"/>
      <c r="AA217" s="334"/>
    </row>
    <row r="218" spans="1:27">
      <c r="A218" s="96">
        <v>300599</v>
      </c>
      <c r="B218" s="1286" t="s">
        <v>154</v>
      </c>
      <c r="C218" s="645" t="s">
        <v>1196</v>
      </c>
      <c r="D218" s="1375"/>
      <c r="E218" s="1299">
        <v>1.9419999999999999</v>
      </c>
      <c r="F218" s="1398"/>
      <c r="G218" s="1397"/>
      <c r="H218" s="1396"/>
      <c r="I218" s="1372"/>
      <c r="K218" s="1293">
        <v>1</v>
      </c>
      <c r="L218" s="1294">
        <v>0</v>
      </c>
      <c r="N218" s="983">
        <f t="shared" si="5"/>
        <v>0</v>
      </c>
      <c r="Z218" s="334"/>
      <c r="AA218" s="334"/>
    </row>
    <row r="219" spans="1:27">
      <c r="A219" s="96">
        <v>300600</v>
      </c>
      <c r="B219" s="1286" t="s">
        <v>288</v>
      </c>
      <c r="C219" s="645" t="s">
        <v>1195</v>
      </c>
      <c r="D219" s="1375"/>
      <c r="E219" s="1299">
        <v>2.2480000000000002</v>
      </c>
      <c r="F219" s="1398"/>
      <c r="G219" s="1397"/>
      <c r="H219" s="1396"/>
      <c r="I219" s="1372"/>
      <c r="K219" s="1293">
        <v>0</v>
      </c>
      <c r="L219" s="1294">
        <v>0</v>
      </c>
      <c r="N219" s="983">
        <f t="shared" si="5"/>
        <v>1</v>
      </c>
      <c r="Z219" s="334"/>
      <c r="AA219" s="334"/>
    </row>
    <row r="220" spans="1:27">
      <c r="A220" s="96">
        <v>300601</v>
      </c>
      <c r="B220" s="1286" t="s">
        <v>289</v>
      </c>
      <c r="C220" s="645" t="s">
        <v>1195</v>
      </c>
      <c r="D220" s="1375"/>
      <c r="E220" s="1299">
        <v>2.1800000000000002</v>
      </c>
      <c r="F220" s="1398"/>
      <c r="G220" s="1397"/>
      <c r="H220" s="1396"/>
      <c r="I220" s="1372"/>
      <c r="K220" s="1293">
        <v>0</v>
      </c>
      <c r="L220" s="1294">
        <v>0</v>
      </c>
      <c r="N220" s="983">
        <f t="shared" si="5"/>
        <v>1</v>
      </c>
      <c r="Z220" s="334"/>
      <c r="AA220" s="334"/>
    </row>
    <row r="221" spans="1:27">
      <c r="A221" s="96">
        <v>300603</v>
      </c>
      <c r="B221" s="1286" t="s">
        <v>155</v>
      </c>
      <c r="C221" s="645" t="s">
        <v>1195</v>
      </c>
      <c r="D221" s="1375"/>
      <c r="E221" s="1299">
        <v>2.2480000000000002</v>
      </c>
      <c r="F221" s="1398"/>
      <c r="G221" s="1397"/>
      <c r="H221" s="1396"/>
      <c r="I221" s="1372"/>
      <c r="K221" s="1293">
        <v>0</v>
      </c>
      <c r="L221" s="1294">
        <v>0</v>
      </c>
      <c r="N221" s="983">
        <f t="shared" si="5"/>
        <v>1</v>
      </c>
      <c r="Z221" s="334"/>
      <c r="AA221" s="334"/>
    </row>
    <row r="222" spans="1:27">
      <c r="A222" s="96">
        <v>300606</v>
      </c>
      <c r="B222" s="1286" t="s">
        <v>156</v>
      </c>
      <c r="C222" s="645" t="s">
        <v>1196</v>
      </c>
      <c r="D222" s="1375"/>
      <c r="E222" s="1299">
        <v>1.506</v>
      </c>
      <c r="F222" s="1398"/>
      <c r="G222" s="1397"/>
      <c r="H222" s="1396"/>
      <c r="I222" s="1372"/>
      <c r="K222" s="1293">
        <v>1</v>
      </c>
      <c r="L222" s="1294">
        <v>0</v>
      </c>
      <c r="N222" s="983">
        <f t="shared" si="5"/>
        <v>0</v>
      </c>
      <c r="Z222" s="334"/>
      <c r="AA222" s="334"/>
    </row>
    <row r="223" spans="1:27">
      <c r="A223" s="96">
        <v>300611</v>
      </c>
      <c r="B223" s="1286" t="s">
        <v>379</v>
      </c>
      <c r="C223" s="645" t="s">
        <v>1196</v>
      </c>
      <c r="D223" s="1375"/>
      <c r="E223" s="1299">
        <v>1.202</v>
      </c>
      <c r="F223" s="1398"/>
      <c r="G223" s="1397"/>
      <c r="H223" s="1396"/>
      <c r="I223" s="1372"/>
      <c r="K223" s="1293">
        <v>1</v>
      </c>
      <c r="L223" s="1294">
        <v>0</v>
      </c>
      <c r="N223" s="983">
        <f t="shared" si="5"/>
        <v>0</v>
      </c>
      <c r="Z223" s="334"/>
      <c r="AA223" s="334"/>
    </row>
    <row r="224" spans="1:27">
      <c r="A224" s="96">
        <v>300617</v>
      </c>
      <c r="B224" s="1286" t="s">
        <v>796</v>
      </c>
      <c r="C224" s="645" t="s">
        <v>1196</v>
      </c>
      <c r="D224" s="1375"/>
      <c r="E224" s="1299">
        <v>2.0609999999999999</v>
      </c>
      <c r="F224" s="1398"/>
      <c r="G224" s="1397"/>
      <c r="H224" s="1396"/>
      <c r="I224" s="1372"/>
      <c r="K224" s="1293">
        <v>1</v>
      </c>
      <c r="L224" s="1294">
        <v>0</v>
      </c>
      <c r="N224" s="983">
        <f t="shared" si="5"/>
        <v>0</v>
      </c>
      <c r="Z224" s="334"/>
      <c r="AA224" s="334"/>
    </row>
    <row r="225" spans="1:27">
      <c r="A225" s="96">
        <v>300620</v>
      </c>
      <c r="B225" s="1286" t="s">
        <v>1200</v>
      </c>
      <c r="C225" s="645" t="s">
        <v>1196</v>
      </c>
      <c r="D225" s="1375"/>
      <c r="E225" s="1299">
        <v>1.5960000000000001</v>
      </c>
      <c r="F225" s="1398"/>
      <c r="G225" s="1397"/>
      <c r="H225" s="1396"/>
      <c r="I225" s="1372"/>
      <c r="K225" s="1293">
        <v>1</v>
      </c>
      <c r="L225" s="1294">
        <v>0</v>
      </c>
      <c r="N225" s="983">
        <f t="shared" si="5"/>
        <v>0</v>
      </c>
      <c r="Z225" s="334"/>
      <c r="AA225" s="334"/>
    </row>
    <row r="226" spans="1:27">
      <c r="A226" s="96">
        <v>300622</v>
      </c>
      <c r="B226" s="1286" t="s">
        <v>157</v>
      </c>
      <c r="C226" s="645" t="s">
        <v>1196</v>
      </c>
      <c r="D226" s="1375"/>
      <c r="E226" s="1299">
        <v>1.994</v>
      </c>
      <c r="F226" s="1398"/>
      <c r="G226" s="1397"/>
      <c r="H226" s="1396"/>
      <c r="I226" s="1372"/>
      <c r="K226" s="1293">
        <v>1</v>
      </c>
      <c r="L226" s="1294">
        <v>0</v>
      </c>
      <c r="N226" s="983">
        <f t="shared" si="5"/>
        <v>0</v>
      </c>
      <c r="Z226" s="334"/>
      <c r="AA226" s="334"/>
    </row>
    <row r="227" spans="1:27">
      <c r="A227" s="96">
        <v>300634</v>
      </c>
      <c r="B227" s="1286" t="s">
        <v>158</v>
      </c>
      <c r="C227" s="645" t="s">
        <v>1195</v>
      </c>
      <c r="D227" s="1375"/>
      <c r="E227" s="1299">
        <v>2.0350000000000001</v>
      </c>
      <c r="F227" s="1398"/>
      <c r="G227" s="1397"/>
      <c r="H227" s="1396"/>
      <c r="I227" s="1372"/>
      <c r="K227" s="1293">
        <v>0</v>
      </c>
      <c r="L227" s="1294">
        <v>0</v>
      </c>
      <c r="N227" s="983">
        <f t="shared" si="5"/>
        <v>1</v>
      </c>
      <c r="Z227" s="334"/>
      <c r="AA227" s="334"/>
    </row>
    <row r="228" spans="1:27">
      <c r="A228" s="96">
        <v>300637</v>
      </c>
      <c r="B228" s="1286" t="s">
        <v>159</v>
      </c>
      <c r="C228" s="645" t="s">
        <v>1195</v>
      </c>
      <c r="D228" s="1375"/>
      <c r="E228" s="1299">
        <v>2.0230000000000001</v>
      </c>
      <c r="F228" s="1398"/>
      <c r="G228" s="1397"/>
      <c r="H228" s="1396"/>
      <c r="I228" s="1372"/>
      <c r="K228" s="1293">
        <v>0</v>
      </c>
      <c r="L228" s="1294">
        <v>0</v>
      </c>
      <c r="N228" s="983">
        <f t="shared" si="5"/>
        <v>1</v>
      </c>
      <c r="Z228" s="334"/>
      <c r="AA228" s="334"/>
    </row>
    <row r="229" spans="1:27">
      <c r="A229" s="96">
        <v>300638</v>
      </c>
      <c r="B229" s="1286" t="s">
        <v>380</v>
      </c>
      <c r="C229" s="645" t="s">
        <v>1196</v>
      </c>
      <c r="D229" s="1375"/>
      <c r="E229" s="1299">
        <v>1.401</v>
      </c>
      <c r="F229" s="1398"/>
      <c r="G229" s="1397"/>
      <c r="H229" s="1396"/>
      <c r="I229" s="1372"/>
      <c r="K229" s="1293">
        <v>1</v>
      </c>
      <c r="L229" s="1294">
        <v>0</v>
      </c>
      <c r="N229" s="983">
        <f t="shared" si="5"/>
        <v>0</v>
      </c>
      <c r="Z229" s="334"/>
      <c r="AA229" s="334"/>
    </row>
    <row r="230" spans="1:27">
      <c r="A230" s="96">
        <v>300639</v>
      </c>
      <c r="B230" s="1286" t="s">
        <v>160</v>
      </c>
      <c r="C230" s="645" t="s">
        <v>1195</v>
      </c>
      <c r="D230" s="1375"/>
      <c r="E230" s="1299">
        <v>2.1120000000000001</v>
      </c>
      <c r="F230" s="1398"/>
      <c r="G230" s="1397"/>
      <c r="H230" s="1396"/>
      <c r="I230" s="1372"/>
      <c r="K230" s="1293">
        <v>0</v>
      </c>
      <c r="L230" s="1294">
        <v>0</v>
      </c>
      <c r="N230" s="983">
        <f t="shared" si="5"/>
        <v>1</v>
      </c>
      <c r="Z230" s="334"/>
      <c r="AA230" s="334"/>
    </row>
    <row r="231" spans="1:27">
      <c r="A231" s="96">
        <v>300640</v>
      </c>
      <c r="B231" s="1286" t="s">
        <v>161</v>
      </c>
      <c r="C231" s="645" t="s">
        <v>1196</v>
      </c>
      <c r="D231" s="1375"/>
      <c r="E231" s="1299">
        <v>1.994</v>
      </c>
      <c r="F231" s="1398"/>
      <c r="G231" s="1397"/>
      <c r="H231" s="1396"/>
      <c r="I231" s="1372"/>
      <c r="K231" s="1293">
        <v>1</v>
      </c>
      <c r="L231" s="1294">
        <v>0</v>
      </c>
      <c r="N231" s="983">
        <f t="shared" si="5"/>
        <v>0</v>
      </c>
      <c r="Z231" s="334"/>
      <c r="AA231" s="334"/>
    </row>
    <row r="232" spans="1:27">
      <c r="A232" s="96">
        <v>300642</v>
      </c>
      <c r="B232" s="1286" t="s">
        <v>162</v>
      </c>
      <c r="C232" s="645" t="s">
        <v>1195</v>
      </c>
      <c r="D232" s="1375"/>
      <c r="E232" s="1299">
        <v>1.274</v>
      </c>
      <c r="F232" s="1398"/>
      <c r="G232" s="1397"/>
      <c r="H232" s="1396"/>
      <c r="I232" s="1372"/>
      <c r="K232" s="1293">
        <v>0</v>
      </c>
      <c r="L232" s="1294">
        <v>0</v>
      </c>
      <c r="N232" s="983">
        <f t="shared" si="5"/>
        <v>1</v>
      </c>
      <c r="Z232" s="334"/>
      <c r="AA232" s="334"/>
    </row>
    <row r="233" spans="1:27">
      <c r="A233" s="96">
        <v>300644</v>
      </c>
      <c r="B233" s="1286" t="s">
        <v>381</v>
      </c>
      <c r="C233" s="645" t="s">
        <v>1196</v>
      </c>
      <c r="D233" s="1375"/>
      <c r="E233" s="1299">
        <v>2.02</v>
      </c>
      <c r="F233" s="1398"/>
      <c r="G233" s="1397"/>
      <c r="H233" s="1396"/>
      <c r="I233" s="1372"/>
      <c r="K233" s="1293">
        <v>1</v>
      </c>
      <c r="L233" s="1294">
        <v>0</v>
      </c>
      <c r="N233" s="983">
        <f t="shared" si="5"/>
        <v>0</v>
      </c>
      <c r="Z233" s="334"/>
      <c r="AA233" s="334"/>
    </row>
    <row r="234" spans="1:27">
      <c r="A234" s="96">
        <v>300645</v>
      </c>
      <c r="B234" s="1286" t="s">
        <v>163</v>
      </c>
      <c r="C234" s="645" t="s">
        <v>1196</v>
      </c>
      <c r="D234" s="1375"/>
      <c r="E234" s="1299">
        <v>2.069</v>
      </c>
      <c r="F234" s="1398"/>
      <c r="G234" s="1397"/>
      <c r="H234" s="1396"/>
      <c r="I234" s="1372"/>
      <c r="K234" s="1293">
        <v>1</v>
      </c>
      <c r="L234" s="1294">
        <v>0</v>
      </c>
      <c r="N234" s="983">
        <f t="shared" si="5"/>
        <v>0</v>
      </c>
      <c r="Z234" s="334"/>
      <c r="AA234" s="334"/>
    </row>
    <row r="235" spans="1:27">
      <c r="A235" s="96">
        <v>300648</v>
      </c>
      <c r="B235" s="1286" t="s">
        <v>164</v>
      </c>
      <c r="C235" s="645" t="s">
        <v>1196</v>
      </c>
      <c r="D235" s="1375"/>
      <c r="E235" s="1299">
        <v>1.994</v>
      </c>
      <c r="F235" s="1398"/>
      <c r="G235" s="1397"/>
      <c r="H235" s="1396"/>
      <c r="I235" s="1372"/>
      <c r="K235" s="1293">
        <v>1</v>
      </c>
      <c r="L235" s="1294">
        <v>0</v>
      </c>
      <c r="N235" s="983">
        <f t="shared" si="5"/>
        <v>0</v>
      </c>
      <c r="Z235" s="334"/>
      <c r="AA235" s="334"/>
    </row>
    <row r="236" spans="1:27">
      <c r="A236" s="96">
        <v>300649</v>
      </c>
      <c r="B236" s="1286" t="s">
        <v>165</v>
      </c>
      <c r="C236" s="645" t="s">
        <v>1196</v>
      </c>
      <c r="D236" s="1375"/>
      <c r="E236" s="1299">
        <v>1.401</v>
      </c>
      <c r="F236" s="1398"/>
      <c r="G236" s="1397"/>
      <c r="H236" s="1396"/>
      <c r="I236" s="1372"/>
      <c r="K236" s="1293">
        <v>1</v>
      </c>
      <c r="L236" s="1294">
        <v>0</v>
      </c>
      <c r="N236" s="983">
        <f t="shared" si="5"/>
        <v>0</v>
      </c>
      <c r="Z236" s="334"/>
      <c r="AA236" s="334"/>
    </row>
    <row r="237" spans="1:27">
      <c r="A237" s="96">
        <v>300650</v>
      </c>
      <c r="B237" s="1286" t="s">
        <v>166</v>
      </c>
      <c r="C237" s="645" t="s">
        <v>1195</v>
      </c>
      <c r="D237" s="1375"/>
      <c r="E237" s="1299">
        <v>1.8109999999999999</v>
      </c>
      <c r="F237" s="1398"/>
      <c r="G237" s="1397"/>
      <c r="H237" s="1396"/>
      <c r="I237" s="1372"/>
      <c r="K237" s="1293">
        <v>0</v>
      </c>
      <c r="L237" s="1294">
        <v>0</v>
      </c>
      <c r="N237" s="983">
        <f t="shared" si="5"/>
        <v>1</v>
      </c>
      <c r="Z237" s="334"/>
      <c r="AA237" s="334"/>
    </row>
    <row r="238" spans="1:27">
      <c r="A238" s="96">
        <v>300651</v>
      </c>
      <c r="B238" s="1286" t="s">
        <v>167</v>
      </c>
      <c r="C238" s="645" t="s">
        <v>1195</v>
      </c>
      <c r="D238" s="1375"/>
      <c r="E238" s="1299">
        <v>2.0350000000000001</v>
      </c>
      <c r="F238" s="1398"/>
      <c r="G238" s="1397"/>
      <c r="H238" s="1396"/>
      <c r="I238" s="1372"/>
      <c r="K238" s="1293">
        <v>0</v>
      </c>
      <c r="L238" s="1294">
        <v>0</v>
      </c>
      <c r="N238" s="983">
        <f t="shared" si="5"/>
        <v>1</v>
      </c>
      <c r="Z238" s="334"/>
      <c r="AA238" s="334"/>
    </row>
    <row r="239" spans="1:27">
      <c r="A239" s="96">
        <v>300652</v>
      </c>
      <c r="B239" s="1286" t="s">
        <v>168</v>
      </c>
      <c r="C239" s="645" t="s">
        <v>1195</v>
      </c>
      <c r="D239" s="1375"/>
      <c r="E239" s="1299">
        <v>1.8049999999999999</v>
      </c>
      <c r="F239" s="1398"/>
      <c r="G239" s="1397"/>
      <c r="H239" s="1396"/>
      <c r="I239" s="1372"/>
      <c r="K239" s="1293">
        <v>0</v>
      </c>
      <c r="L239" s="1294">
        <v>0</v>
      </c>
      <c r="N239" s="983">
        <f t="shared" si="5"/>
        <v>1</v>
      </c>
      <c r="Z239" s="334"/>
      <c r="AA239" s="334"/>
    </row>
    <row r="240" spans="1:27">
      <c r="A240" s="96">
        <v>300655</v>
      </c>
      <c r="B240" s="1286" t="s">
        <v>290</v>
      </c>
      <c r="C240" s="645" t="s">
        <v>1195</v>
      </c>
      <c r="D240" s="1375"/>
      <c r="E240" s="1299">
        <v>1.294</v>
      </c>
      <c r="F240" s="1398"/>
      <c r="G240" s="1397"/>
      <c r="H240" s="1396"/>
      <c r="I240" s="1372"/>
      <c r="K240" s="1293">
        <v>0</v>
      </c>
      <c r="L240" s="1294">
        <v>0</v>
      </c>
      <c r="N240" s="983">
        <f t="shared" si="5"/>
        <v>1</v>
      </c>
      <c r="Z240" s="334"/>
      <c r="AA240" s="334"/>
    </row>
    <row r="241" spans="1:27">
      <c r="A241" s="96">
        <v>300662</v>
      </c>
      <c r="B241" s="1286" t="s">
        <v>291</v>
      </c>
      <c r="C241" s="645" t="s">
        <v>1195</v>
      </c>
      <c r="D241" s="1375"/>
      <c r="E241" s="1299">
        <v>1.274</v>
      </c>
      <c r="F241" s="1398"/>
      <c r="G241" s="1397"/>
      <c r="H241" s="1396"/>
      <c r="I241" s="1372"/>
      <c r="K241" s="1293">
        <v>0</v>
      </c>
      <c r="L241" s="1294">
        <v>0</v>
      </c>
      <c r="N241" s="983">
        <f t="shared" si="5"/>
        <v>1</v>
      </c>
      <c r="Z241" s="334"/>
      <c r="AA241" s="334"/>
    </row>
    <row r="242" spans="1:27">
      <c r="A242" s="96">
        <v>300663</v>
      </c>
      <c r="B242" s="1286" t="s">
        <v>797</v>
      </c>
      <c r="C242" s="645" t="s">
        <v>1196</v>
      </c>
      <c r="D242" s="1375"/>
      <c r="E242" s="1299">
        <v>1.23</v>
      </c>
      <c r="F242" s="1398"/>
      <c r="G242" s="1397"/>
      <c r="H242" s="1396"/>
      <c r="I242" s="1372"/>
      <c r="K242" s="1293">
        <v>1</v>
      </c>
      <c r="L242" s="1294">
        <v>0</v>
      </c>
      <c r="N242" s="983">
        <f t="shared" si="5"/>
        <v>0</v>
      </c>
      <c r="Z242" s="334"/>
      <c r="AA242" s="334"/>
    </row>
    <row r="243" spans="1:27">
      <c r="A243" s="96">
        <v>300664</v>
      </c>
      <c r="B243" s="1286" t="s">
        <v>169</v>
      </c>
      <c r="C243" s="645" t="s">
        <v>1196</v>
      </c>
      <c r="D243" s="1375"/>
      <c r="E243" s="1299">
        <v>1.9750000000000001</v>
      </c>
      <c r="F243" s="1398"/>
      <c r="G243" s="1397"/>
      <c r="H243" s="1396"/>
      <c r="I243" s="1372"/>
      <c r="K243" s="1293">
        <v>1</v>
      </c>
      <c r="L243" s="1294">
        <v>0</v>
      </c>
      <c r="N243" s="983">
        <f t="shared" si="5"/>
        <v>0</v>
      </c>
      <c r="Z243" s="334"/>
      <c r="AA243" s="334"/>
    </row>
    <row r="244" spans="1:27">
      <c r="A244" s="96">
        <v>300665</v>
      </c>
      <c r="B244" s="1286" t="s">
        <v>798</v>
      </c>
      <c r="C244" s="645" t="s">
        <v>1196</v>
      </c>
      <c r="D244" s="1375"/>
      <c r="E244" s="1299">
        <v>1.32</v>
      </c>
      <c r="F244" s="1398"/>
      <c r="G244" s="1397"/>
      <c r="H244" s="1396"/>
      <c r="I244" s="1372"/>
      <c r="K244" s="1293">
        <v>1</v>
      </c>
      <c r="L244" s="1294">
        <v>0</v>
      </c>
      <c r="N244" s="983">
        <f t="shared" si="5"/>
        <v>0</v>
      </c>
      <c r="Z244" s="334"/>
      <c r="AA244" s="334"/>
    </row>
    <row r="245" spans="1:27">
      <c r="A245" s="96">
        <v>300669</v>
      </c>
      <c r="B245" s="1286" t="s">
        <v>292</v>
      </c>
      <c r="C245" s="645" t="s">
        <v>1195</v>
      </c>
      <c r="D245" s="1375"/>
      <c r="E245" s="1299">
        <v>2.1120000000000001</v>
      </c>
      <c r="F245" s="1398"/>
      <c r="G245" s="1397"/>
      <c r="H245" s="1396"/>
      <c r="I245" s="1372"/>
      <c r="K245" s="1293">
        <v>0</v>
      </c>
      <c r="L245" s="1294">
        <v>0</v>
      </c>
      <c r="N245" s="983">
        <f t="shared" si="5"/>
        <v>1</v>
      </c>
      <c r="Z245" s="334"/>
      <c r="AA245" s="334"/>
    </row>
    <row r="246" spans="1:27">
      <c r="A246" s="96">
        <v>300670</v>
      </c>
      <c r="B246" s="1286" t="s">
        <v>170</v>
      </c>
      <c r="C246" s="645" t="s">
        <v>1195</v>
      </c>
      <c r="D246" s="1375"/>
      <c r="E246" s="1299">
        <v>1.3779999999999999</v>
      </c>
      <c r="F246" s="1398"/>
      <c r="G246" s="1397"/>
      <c r="H246" s="1396"/>
      <c r="I246" s="1372"/>
      <c r="K246" s="1293">
        <v>0</v>
      </c>
      <c r="L246" s="1294">
        <v>0</v>
      </c>
      <c r="N246" s="983">
        <f t="shared" si="5"/>
        <v>1</v>
      </c>
      <c r="Z246" s="334"/>
      <c r="AA246" s="334"/>
    </row>
    <row r="247" spans="1:27">
      <c r="A247" s="96">
        <v>300674</v>
      </c>
      <c r="B247" s="1286" t="s">
        <v>171</v>
      </c>
      <c r="C247" s="645" t="s">
        <v>1196</v>
      </c>
      <c r="D247" s="1375"/>
      <c r="E247" s="1299">
        <v>1.506</v>
      </c>
      <c r="F247" s="1398"/>
      <c r="G247" s="1397"/>
      <c r="H247" s="1396"/>
      <c r="I247" s="1372"/>
      <c r="K247" s="1293">
        <v>1</v>
      </c>
      <c r="L247" s="1294">
        <v>0</v>
      </c>
      <c r="N247" s="983">
        <f t="shared" si="5"/>
        <v>0</v>
      </c>
      <c r="Z247" s="334"/>
      <c r="AA247" s="334"/>
    </row>
    <row r="248" spans="1:27">
      <c r="A248" s="96">
        <v>300675</v>
      </c>
      <c r="B248" s="1286" t="s">
        <v>172</v>
      </c>
      <c r="C248" s="645" t="s">
        <v>1196</v>
      </c>
      <c r="D248" s="1375"/>
      <c r="E248" s="1299">
        <v>1.506</v>
      </c>
      <c r="F248" s="1398"/>
      <c r="G248" s="1397"/>
      <c r="H248" s="1396"/>
      <c r="I248" s="1372"/>
      <c r="K248" s="1293">
        <v>1</v>
      </c>
      <c r="L248" s="1294">
        <v>0</v>
      </c>
      <c r="N248" s="983">
        <f t="shared" si="5"/>
        <v>0</v>
      </c>
      <c r="Z248" s="334"/>
      <c r="AA248" s="334"/>
    </row>
    <row r="249" spans="1:27">
      <c r="A249" s="96">
        <v>300680</v>
      </c>
      <c r="B249" s="1286" t="s">
        <v>173</v>
      </c>
      <c r="C249" s="645" t="s">
        <v>1196</v>
      </c>
      <c r="D249" s="1375"/>
      <c r="E249" s="1299">
        <v>1.2869999999999999</v>
      </c>
      <c r="F249" s="1398"/>
      <c r="G249" s="1397"/>
      <c r="H249" s="1396"/>
      <c r="I249" s="1372"/>
      <c r="K249" s="1293">
        <v>1</v>
      </c>
      <c r="L249" s="1294">
        <v>0</v>
      </c>
      <c r="N249" s="983">
        <f t="shared" si="5"/>
        <v>0</v>
      </c>
      <c r="Z249" s="334"/>
      <c r="AA249" s="334"/>
    </row>
    <row r="250" spans="1:27">
      <c r="A250" s="96">
        <v>300681</v>
      </c>
      <c r="B250" s="1286" t="s">
        <v>174</v>
      </c>
      <c r="C250" s="645" t="s">
        <v>1196</v>
      </c>
      <c r="D250" s="1375"/>
      <c r="E250" s="1299">
        <v>1.401</v>
      </c>
      <c r="F250" s="1398"/>
      <c r="G250" s="1397"/>
      <c r="H250" s="1396"/>
      <c r="I250" s="1372"/>
      <c r="K250" s="1293">
        <v>1</v>
      </c>
      <c r="L250" s="1294">
        <v>0</v>
      </c>
      <c r="N250" s="983">
        <f t="shared" si="5"/>
        <v>0</v>
      </c>
      <c r="Z250" s="334"/>
      <c r="AA250" s="334"/>
    </row>
    <row r="251" spans="1:27">
      <c r="A251" s="96">
        <v>300683</v>
      </c>
      <c r="B251" s="1286" t="s">
        <v>252</v>
      </c>
      <c r="C251" s="645" t="s">
        <v>1196</v>
      </c>
      <c r="D251" s="1375"/>
      <c r="E251" s="1299">
        <v>1.994</v>
      </c>
      <c r="F251" s="1398"/>
      <c r="G251" s="1397"/>
      <c r="H251" s="1396"/>
      <c r="I251" s="1372"/>
      <c r="K251" s="1293">
        <v>1</v>
      </c>
      <c r="L251" s="1294">
        <v>0</v>
      </c>
      <c r="N251" s="983">
        <f t="shared" si="5"/>
        <v>0</v>
      </c>
      <c r="Z251" s="334"/>
      <c r="AA251" s="334"/>
    </row>
    <row r="252" spans="1:27">
      <c r="A252" s="96">
        <v>300684</v>
      </c>
      <c r="B252" s="1286" t="s">
        <v>253</v>
      </c>
      <c r="C252" s="645" t="s">
        <v>1196</v>
      </c>
      <c r="D252" s="1375"/>
      <c r="E252" s="1299">
        <v>1.325</v>
      </c>
      <c r="F252" s="1398"/>
      <c r="G252" s="1397"/>
      <c r="H252" s="1396"/>
      <c r="I252" s="1372"/>
      <c r="K252" s="1293">
        <v>1</v>
      </c>
      <c r="L252" s="1294">
        <v>0</v>
      </c>
      <c r="N252" s="983">
        <f t="shared" si="5"/>
        <v>0</v>
      </c>
      <c r="Z252" s="334"/>
      <c r="AA252" s="334"/>
    </row>
    <row r="253" spans="1:27">
      <c r="A253" s="96">
        <v>300685</v>
      </c>
      <c r="B253" s="1286" t="s">
        <v>293</v>
      </c>
      <c r="C253" s="645" t="s">
        <v>1196</v>
      </c>
      <c r="D253" s="1375"/>
      <c r="E253" s="1299">
        <v>1.506</v>
      </c>
      <c r="F253" s="1398"/>
      <c r="G253" s="1397"/>
      <c r="H253" s="1396"/>
      <c r="I253" s="1372"/>
      <c r="K253" s="1293">
        <v>1</v>
      </c>
      <c r="L253" s="1294">
        <v>0</v>
      </c>
      <c r="N253" s="983">
        <f t="shared" si="5"/>
        <v>0</v>
      </c>
      <c r="Z253" s="334"/>
      <c r="AA253" s="334"/>
    </row>
    <row r="254" spans="1:27">
      <c r="A254" s="96">
        <v>300686</v>
      </c>
      <c r="B254" s="1286" t="s">
        <v>254</v>
      </c>
      <c r="C254" s="645" t="s">
        <v>1196</v>
      </c>
      <c r="D254" s="1375"/>
      <c r="E254" s="1299">
        <v>1.32</v>
      </c>
      <c r="F254" s="1398"/>
      <c r="G254" s="1397"/>
      <c r="H254" s="1396"/>
      <c r="I254" s="1372"/>
      <c r="K254" s="1293">
        <v>1</v>
      </c>
      <c r="L254" s="1294">
        <v>0</v>
      </c>
      <c r="N254" s="983">
        <f t="shared" si="5"/>
        <v>0</v>
      </c>
      <c r="Z254" s="334"/>
      <c r="AA254" s="334"/>
    </row>
    <row r="255" spans="1:27">
      <c r="A255" s="96">
        <v>300687</v>
      </c>
      <c r="B255" s="1286" t="s">
        <v>799</v>
      </c>
      <c r="C255" s="645" t="s">
        <v>1196</v>
      </c>
      <c r="D255" s="1375"/>
      <c r="E255" s="1299">
        <v>1.23</v>
      </c>
      <c r="F255" s="1398"/>
      <c r="G255" s="1397"/>
      <c r="H255" s="1396"/>
      <c r="I255" s="1372"/>
      <c r="K255" s="1293">
        <v>1</v>
      </c>
      <c r="L255" s="1294">
        <v>0</v>
      </c>
      <c r="N255" s="983">
        <f t="shared" si="5"/>
        <v>0</v>
      </c>
      <c r="Z255" s="334"/>
      <c r="AA255" s="334"/>
    </row>
    <row r="256" spans="1:27">
      <c r="A256" s="96">
        <v>300691</v>
      </c>
      <c r="B256" s="1286" t="s">
        <v>294</v>
      </c>
      <c r="C256" s="645" t="s">
        <v>1195</v>
      </c>
      <c r="D256" s="1375"/>
      <c r="E256" s="1299">
        <v>2.1800000000000002</v>
      </c>
      <c r="F256" s="1398"/>
      <c r="G256" s="1397"/>
      <c r="H256" s="1396"/>
      <c r="I256" s="1372"/>
      <c r="K256" s="1293">
        <v>0</v>
      </c>
      <c r="L256" s="1294">
        <v>0</v>
      </c>
      <c r="N256" s="983">
        <f t="shared" si="5"/>
        <v>1</v>
      </c>
      <c r="Z256" s="334"/>
      <c r="AA256" s="334"/>
    </row>
    <row r="257" spans="1:27">
      <c r="A257" s="96">
        <v>300692</v>
      </c>
      <c r="B257" s="1286" t="s">
        <v>295</v>
      </c>
      <c r="C257" s="645" t="s">
        <v>1196</v>
      </c>
      <c r="D257" s="1375"/>
      <c r="E257" s="1299">
        <v>2.0529999999999999</v>
      </c>
      <c r="F257" s="1398"/>
      <c r="G257" s="1397"/>
      <c r="H257" s="1396"/>
      <c r="I257" s="1372"/>
      <c r="K257" s="1293">
        <v>1</v>
      </c>
      <c r="L257" s="1294">
        <v>0</v>
      </c>
      <c r="N257" s="983">
        <f t="shared" si="5"/>
        <v>0</v>
      </c>
      <c r="Z257" s="334"/>
      <c r="AA257" s="334"/>
    </row>
    <row r="258" spans="1:27">
      <c r="A258" s="96">
        <v>300693</v>
      </c>
      <c r="B258" s="1286" t="s">
        <v>176</v>
      </c>
      <c r="C258" s="645" t="s">
        <v>1196</v>
      </c>
      <c r="D258" s="1375"/>
      <c r="E258" s="1299">
        <v>1.32</v>
      </c>
      <c r="F258" s="1398"/>
      <c r="G258" s="1397"/>
      <c r="H258" s="1396"/>
      <c r="I258" s="1372"/>
      <c r="K258" s="1293">
        <v>1</v>
      </c>
      <c r="L258" s="1294">
        <v>0</v>
      </c>
      <c r="N258" s="983">
        <f t="shared" si="5"/>
        <v>0</v>
      </c>
      <c r="Z258" s="334"/>
      <c r="AA258" s="334"/>
    </row>
    <row r="259" spans="1:27">
      <c r="A259" s="96">
        <v>300694</v>
      </c>
      <c r="B259" s="1286" t="s">
        <v>177</v>
      </c>
      <c r="C259" s="645" t="s">
        <v>1196</v>
      </c>
      <c r="D259" s="1375"/>
      <c r="E259" s="1299">
        <v>1.2869999999999999</v>
      </c>
      <c r="F259" s="1398"/>
      <c r="G259" s="1397"/>
      <c r="H259" s="1396"/>
      <c r="I259" s="1372"/>
      <c r="K259" s="1293">
        <v>1</v>
      </c>
      <c r="L259" s="1294">
        <v>0</v>
      </c>
      <c r="N259" s="983">
        <f t="shared" si="5"/>
        <v>0</v>
      </c>
      <c r="Z259" s="334"/>
      <c r="AA259" s="334"/>
    </row>
    <row r="260" spans="1:27">
      <c r="A260" s="96">
        <v>300696</v>
      </c>
      <c r="B260" s="1286" t="s">
        <v>178</v>
      </c>
      <c r="C260" s="645" t="s">
        <v>1196</v>
      </c>
      <c r="D260" s="1375"/>
      <c r="E260" s="1299">
        <v>2.1070000000000002</v>
      </c>
      <c r="F260" s="1398"/>
      <c r="G260" s="1397"/>
      <c r="H260" s="1396"/>
      <c r="I260" s="1372"/>
      <c r="K260" s="1293">
        <v>1</v>
      </c>
      <c r="L260" s="1294">
        <v>0</v>
      </c>
      <c r="N260" s="983">
        <f t="shared" si="5"/>
        <v>0</v>
      </c>
      <c r="Z260" s="334"/>
      <c r="AA260" s="334"/>
    </row>
    <row r="261" spans="1:27">
      <c r="A261" s="96">
        <v>300703</v>
      </c>
      <c r="B261" s="1286" t="s">
        <v>179</v>
      </c>
      <c r="C261" s="645" t="s">
        <v>1196</v>
      </c>
      <c r="D261" s="1375"/>
      <c r="E261" s="1299">
        <v>2.048</v>
      </c>
      <c r="F261" s="1398"/>
      <c r="G261" s="1397"/>
      <c r="H261" s="1396"/>
      <c r="I261" s="1372"/>
      <c r="K261" s="1293">
        <v>1</v>
      </c>
      <c r="L261" s="1294">
        <v>0</v>
      </c>
      <c r="N261" s="983">
        <f t="shared" si="5"/>
        <v>0</v>
      </c>
      <c r="Z261" s="334"/>
      <c r="AA261" s="334"/>
    </row>
    <row r="262" spans="1:27">
      <c r="A262" s="96">
        <v>300705</v>
      </c>
      <c r="B262" s="1286" t="s">
        <v>800</v>
      </c>
      <c r="C262" s="645" t="s">
        <v>1196</v>
      </c>
      <c r="D262" s="1375"/>
      <c r="E262" s="1299">
        <v>1.29</v>
      </c>
      <c r="F262" s="1398"/>
      <c r="G262" s="1397"/>
      <c r="H262" s="1396"/>
      <c r="I262" s="1372"/>
      <c r="K262" s="1293">
        <v>1</v>
      </c>
      <c r="L262" s="1294">
        <v>0</v>
      </c>
      <c r="N262" s="983">
        <f t="shared" si="5"/>
        <v>0</v>
      </c>
      <c r="Z262" s="334"/>
      <c r="AA262" s="334"/>
    </row>
    <row r="263" spans="1:27">
      <c r="A263" s="96">
        <v>300706</v>
      </c>
      <c r="B263" s="1286" t="s">
        <v>180</v>
      </c>
      <c r="C263" s="645" t="s">
        <v>1196</v>
      </c>
      <c r="D263" s="1375"/>
      <c r="E263" s="1299">
        <v>1.29</v>
      </c>
      <c r="F263" s="1398"/>
      <c r="G263" s="1397"/>
      <c r="H263" s="1396"/>
      <c r="I263" s="1372"/>
      <c r="K263" s="1293">
        <v>1</v>
      </c>
      <c r="L263" s="1294">
        <v>0</v>
      </c>
      <c r="N263" s="983">
        <f t="shared" si="5"/>
        <v>0</v>
      </c>
      <c r="Z263" s="334"/>
      <c r="AA263" s="334"/>
    </row>
    <row r="264" spans="1:27">
      <c r="A264" s="96">
        <v>300710</v>
      </c>
      <c r="B264" s="1286" t="s">
        <v>181</v>
      </c>
      <c r="C264" s="645" t="s">
        <v>1195</v>
      </c>
      <c r="D264" s="1375"/>
      <c r="E264" s="1299">
        <v>1.079</v>
      </c>
      <c r="F264" s="1398"/>
      <c r="G264" s="1397"/>
      <c r="H264" s="1396"/>
      <c r="I264" s="1372"/>
      <c r="K264" s="1293">
        <v>0</v>
      </c>
      <c r="L264" s="1294">
        <v>0</v>
      </c>
      <c r="N264" s="983">
        <f t="shared" si="5"/>
        <v>1</v>
      </c>
      <c r="Z264" s="334"/>
      <c r="AA264" s="334"/>
    </row>
    <row r="265" spans="1:27">
      <c r="A265" s="96">
        <v>300711</v>
      </c>
      <c r="B265" s="1286" t="s">
        <v>182</v>
      </c>
      <c r="C265" s="645" t="s">
        <v>1196</v>
      </c>
      <c r="D265" s="1375"/>
      <c r="E265" s="1299">
        <v>1.32</v>
      </c>
      <c r="F265" s="1398"/>
      <c r="G265" s="1397"/>
      <c r="H265" s="1396"/>
      <c r="I265" s="1372"/>
      <c r="K265" s="1293">
        <v>1</v>
      </c>
      <c r="L265" s="1294">
        <v>0</v>
      </c>
      <c r="N265" s="983">
        <f t="shared" si="5"/>
        <v>0</v>
      </c>
      <c r="Z265" s="334"/>
      <c r="AA265" s="334"/>
    </row>
    <row r="266" spans="1:27">
      <c r="A266" s="96">
        <v>300712</v>
      </c>
      <c r="B266" s="1286" t="s">
        <v>183</v>
      </c>
      <c r="C266" s="645" t="s">
        <v>1196</v>
      </c>
      <c r="D266" s="1375"/>
      <c r="E266" s="1299">
        <v>1.7130000000000001</v>
      </c>
      <c r="F266" s="1398"/>
      <c r="G266" s="1397"/>
      <c r="H266" s="1396"/>
      <c r="I266" s="1372"/>
      <c r="K266" s="1293">
        <v>1</v>
      </c>
      <c r="L266" s="1294">
        <v>0</v>
      </c>
      <c r="N266" s="983">
        <f t="shared" ref="N266:N329" si="6">IF(C266="local distribution point",1,0)</f>
        <v>0</v>
      </c>
      <c r="Z266" s="334"/>
      <c r="AA266" s="334"/>
    </row>
    <row r="267" spans="1:27">
      <c r="A267" s="96">
        <v>300713</v>
      </c>
      <c r="B267" s="1286" t="s">
        <v>184</v>
      </c>
      <c r="C267" s="645" t="s">
        <v>1196</v>
      </c>
      <c r="D267" s="1375"/>
      <c r="E267" s="1299">
        <v>1.325</v>
      </c>
      <c r="F267" s="1398"/>
      <c r="G267" s="1397"/>
      <c r="H267" s="1396"/>
      <c r="I267" s="1372"/>
      <c r="K267" s="1293">
        <v>1</v>
      </c>
      <c r="L267" s="1294">
        <v>0</v>
      </c>
      <c r="N267" s="983">
        <f t="shared" si="6"/>
        <v>0</v>
      </c>
      <c r="Z267" s="334"/>
      <c r="AA267" s="334"/>
    </row>
    <row r="268" spans="1:27">
      <c r="A268" s="96">
        <v>300716</v>
      </c>
      <c r="B268" s="1286" t="s">
        <v>801</v>
      </c>
      <c r="C268" s="645" t="s">
        <v>1196</v>
      </c>
      <c r="D268" s="1375"/>
      <c r="E268" s="1299">
        <v>1.3049999999999999</v>
      </c>
      <c r="F268" s="1398"/>
      <c r="G268" s="1397"/>
      <c r="H268" s="1396"/>
      <c r="I268" s="1372"/>
      <c r="K268" s="1293">
        <v>1</v>
      </c>
      <c r="L268" s="1294">
        <v>0</v>
      </c>
      <c r="N268" s="983">
        <f t="shared" si="6"/>
        <v>0</v>
      </c>
      <c r="Z268" s="334"/>
      <c r="AA268" s="334"/>
    </row>
    <row r="269" spans="1:27">
      <c r="A269" s="96">
        <v>300719</v>
      </c>
      <c r="B269" s="1286" t="s">
        <v>185</v>
      </c>
      <c r="C269" s="645" t="s">
        <v>1195</v>
      </c>
      <c r="D269" s="1375"/>
      <c r="E269" s="1299">
        <v>1.079</v>
      </c>
      <c r="F269" s="1398"/>
      <c r="G269" s="1397"/>
      <c r="H269" s="1396"/>
      <c r="I269" s="1372"/>
      <c r="K269" s="1293">
        <v>0</v>
      </c>
      <c r="L269" s="1294">
        <v>0</v>
      </c>
      <c r="N269" s="983">
        <f t="shared" si="6"/>
        <v>1</v>
      </c>
      <c r="Z269" s="334"/>
      <c r="AA269" s="334"/>
    </row>
    <row r="270" spans="1:27">
      <c r="A270" s="96">
        <v>300722</v>
      </c>
      <c r="B270" s="1286" t="s">
        <v>186</v>
      </c>
      <c r="C270" s="645" t="s">
        <v>1196</v>
      </c>
      <c r="D270" s="1375"/>
      <c r="E270" s="1299">
        <v>1.994</v>
      </c>
      <c r="F270" s="1398"/>
      <c r="G270" s="1397"/>
      <c r="H270" s="1396"/>
      <c r="I270" s="1372"/>
      <c r="K270" s="1293">
        <v>1</v>
      </c>
      <c r="L270" s="1294">
        <v>0</v>
      </c>
      <c r="N270" s="983">
        <f t="shared" si="6"/>
        <v>0</v>
      </c>
      <c r="Z270" s="334"/>
      <c r="AA270" s="334"/>
    </row>
    <row r="271" spans="1:27">
      <c r="A271" s="96">
        <v>300725</v>
      </c>
      <c r="B271" s="1286" t="s">
        <v>371</v>
      </c>
      <c r="C271" s="645" t="s">
        <v>1196</v>
      </c>
      <c r="D271" s="1375"/>
      <c r="E271" s="1299">
        <v>1.994</v>
      </c>
      <c r="F271" s="1398"/>
      <c r="G271" s="1397"/>
      <c r="H271" s="1396"/>
      <c r="I271" s="1372"/>
      <c r="K271" s="1293">
        <v>1</v>
      </c>
      <c r="L271" s="1294">
        <v>0</v>
      </c>
      <c r="N271" s="983">
        <f t="shared" si="6"/>
        <v>0</v>
      </c>
      <c r="Z271" s="334"/>
      <c r="AA271" s="334"/>
    </row>
    <row r="272" spans="1:27">
      <c r="A272" s="96">
        <v>300727</v>
      </c>
      <c r="B272" s="1286" t="s">
        <v>296</v>
      </c>
      <c r="C272" s="645" t="s">
        <v>1195</v>
      </c>
      <c r="D272" s="1375"/>
      <c r="E272" s="1299">
        <v>1.746</v>
      </c>
      <c r="F272" s="1398"/>
      <c r="G272" s="1397"/>
      <c r="H272" s="1396"/>
      <c r="I272" s="1372"/>
      <c r="K272" s="1293">
        <v>0</v>
      </c>
      <c r="L272" s="1294">
        <v>0</v>
      </c>
      <c r="N272" s="983">
        <f t="shared" si="6"/>
        <v>1</v>
      </c>
      <c r="Z272" s="334"/>
      <c r="AA272" s="334"/>
    </row>
    <row r="273" spans="1:27">
      <c r="A273" s="96">
        <v>300728</v>
      </c>
      <c r="B273" s="1286" t="s">
        <v>187</v>
      </c>
      <c r="C273" s="645" t="s">
        <v>1195</v>
      </c>
      <c r="D273" s="1375"/>
      <c r="E273" s="1299">
        <v>1.0269999999999999</v>
      </c>
      <c r="F273" s="1398"/>
      <c r="G273" s="1397"/>
      <c r="H273" s="1396"/>
      <c r="I273" s="1372"/>
      <c r="K273" s="1293">
        <v>0</v>
      </c>
      <c r="L273" s="1294">
        <v>0</v>
      </c>
      <c r="N273" s="983">
        <f t="shared" si="6"/>
        <v>1</v>
      </c>
      <c r="Z273" s="334"/>
      <c r="AA273" s="334"/>
    </row>
    <row r="274" spans="1:27">
      <c r="A274" s="96">
        <v>300729</v>
      </c>
      <c r="B274" s="1286" t="s">
        <v>802</v>
      </c>
      <c r="C274" s="645" t="s">
        <v>1196</v>
      </c>
      <c r="D274" s="1375"/>
      <c r="E274" s="1299">
        <v>1.23</v>
      </c>
      <c r="F274" s="1398"/>
      <c r="G274" s="1397"/>
      <c r="H274" s="1396"/>
      <c r="I274" s="1372"/>
      <c r="K274" s="1293">
        <v>1</v>
      </c>
      <c r="L274" s="1294">
        <v>0</v>
      </c>
      <c r="N274" s="983">
        <f t="shared" si="6"/>
        <v>0</v>
      </c>
      <c r="Z274" s="334"/>
      <c r="AA274" s="334"/>
    </row>
    <row r="275" spans="1:27">
      <c r="A275" s="96">
        <v>300734</v>
      </c>
      <c r="B275" s="1286" t="s">
        <v>803</v>
      </c>
      <c r="C275" s="645" t="s">
        <v>1196</v>
      </c>
      <c r="D275" s="1375"/>
      <c r="E275" s="1299">
        <v>2.2759999999999998</v>
      </c>
      <c r="F275" s="1398"/>
      <c r="G275" s="1397"/>
      <c r="H275" s="1396"/>
      <c r="I275" s="1372"/>
      <c r="K275" s="1293">
        <v>1</v>
      </c>
      <c r="L275" s="1294">
        <v>0</v>
      </c>
      <c r="N275" s="983">
        <f t="shared" si="6"/>
        <v>0</v>
      </c>
      <c r="Z275" s="334"/>
      <c r="AA275" s="334"/>
    </row>
    <row r="276" spans="1:27">
      <c r="A276" s="96">
        <v>300736</v>
      </c>
      <c r="B276" s="1286" t="s">
        <v>804</v>
      </c>
      <c r="C276" s="645" t="s">
        <v>1196</v>
      </c>
      <c r="D276" s="1375"/>
      <c r="E276" s="1299">
        <v>1.32</v>
      </c>
      <c r="F276" s="1398"/>
      <c r="G276" s="1397"/>
      <c r="H276" s="1396"/>
      <c r="I276" s="1372"/>
      <c r="K276" s="1293">
        <v>1</v>
      </c>
      <c r="L276" s="1294">
        <v>0</v>
      </c>
      <c r="N276" s="983">
        <f t="shared" si="6"/>
        <v>0</v>
      </c>
      <c r="Z276" s="334"/>
      <c r="AA276" s="334"/>
    </row>
    <row r="277" spans="1:27">
      <c r="A277" s="96">
        <v>300737</v>
      </c>
      <c r="B277" s="1286" t="s">
        <v>297</v>
      </c>
      <c r="C277" s="645" t="s">
        <v>1196</v>
      </c>
      <c r="D277" s="1375"/>
      <c r="E277" s="1299">
        <v>1.23</v>
      </c>
      <c r="F277" s="1398"/>
      <c r="G277" s="1397"/>
      <c r="H277" s="1396"/>
      <c r="I277" s="1372"/>
      <c r="K277" s="1293">
        <v>1</v>
      </c>
      <c r="L277" s="1294">
        <v>0</v>
      </c>
      <c r="N277" s="983">
        <f t="shared" si="6"/>
        <v>0</v>
      </c>
      <c r="Z277" s="334"/>
      <c r="AA277" s="334"/>
    </row>
    <row r="278" spans="1:27">
      <c r="A278" s="96">
        <v>300740</v>
      </c>
      <c r="B278" s="1286" t="s">
        <v>805</v>
      </c>
      <c r="C278" s="645" t="s">
        <v>1196</v>
      </c>
      <c r="D278" s="1375"/>
      <c r="E278" s="1299">
        <v>1.32</v>
      </c>
      <c r="F278" s="1398"/>
      <c r="G278" s="1397"/>
      <c r="H278" s="1396"/>
      <c r="I278" s="1372"/>
      <c r="K278" s="1293">
        <v>1</v>
      </c>
      <c r="L278" s="1294">
        <v>0</v>
      </c>
      <c r="N278" s="983">
        <f t="shared" si="6"/>
        <v>0</v>
      </c>
      <c r="Z278" s="334"/>
      <c r="AA278" s="334"/>
    </row>
    <row r="279" spans="1:27">
      <c r="A279" s="96">
        <v>300747</v>
      </c>
      <c r="B279" s="1286" t="s">
        <v>384</v>
      </c>
      <c r="C279" s="645" t="s">
        <v>1196</v>
      </c>
      <c r="D279" s="1375"/>
      <c r="E279" s="1299">
        <v>1.32</v>
      </c>
      <c r="F279" s="1398"/>
      <c r="G279" s="1397"/>
      <c r="H279" s="1396"/>
      <c r="I279" s="1372"/>
      <c r="K279" s="1293">
        <v>1</v>
      </c>
      <c r="L279" s="1294">
        <v>0</v>
      </c>
      <c r="N279" s="983">
        <f t="shared" si="6"/>
        <v>0</v>
      </c>
      <c r="Z279" s="334"/>
      <c r="AA279" s="334"/>
    </row>
    <row r="280" spans="1:27">
      <c r="A280" s="96">
        <v>300748</v>
      </c>
      <c r="B280" s="1286" t="s">
        <v>1201</v>
      </c>
      <c r="C280" s="645" t="s">
        <v>1196</v>
      </c>
      <c r="D280" s="1375"/>
      <c r="E280" s="1299">
        <v>2.2759999999999998</v>
      </c>
      <c r="F280" s="1398"/>
      <c r="G280" s="1397"/>
      <c r="H280" s="1396"/>
      <c r="I280" s="1372"/>
      <c r="K280" s="1293">
        <v>1</v>
      </c>
      <c r="L280" s="1294">
        <v>0</v>
      </c>
      <c r="N280" s="983">
        <f t="shared" si="6"/>
        <v>0</v>
      </c>
      <c r="Z280" s="334"/>
      <c r="AA280" s="334"/>
    </row>
    <row r="281" spans="1:27">
      <c r="A281" s="96">
        <v>300754</v>
      </c>
      <c r="B281" s="1286" t="s">
        <v>385</v>
      </c>
      <c r="C281" s="645" t="s">
        <v>1195</v>
      </c>
      <c r="D281" s="1375"/>
      <c r="E281" s="1299">
        <v>1.2769999999999999</v>
      </c>
      <c r="F281" s="1398"/>
      <c r="G281" s="1397"/>
      <c r="H281" s="1396"/>
      <c r="I281" s="1372"/>
      <c r="K281" s="1293">
        <v>0</v>
      </c>
      <c r="L281" s="1294">
        <v>0</v>
      </c>
      <c r="N281" s="983">
        <f t="shared" si="6"/>
        <v>1</v>
      </c>
      <c r="Z281" s="334"/>
      <c r="AA281" s="334"/>
    </row>
    <row r="282" spans="1:27">
      <c r="A282" s="96">
        <v>300755</v>
      </c>
      <c r="B282" s="1286" t="s">
        <v>386</v>
      </c>
      <c r="C282" s="645" t="s">
        <v>1195</v>
      </c>
      <c r="D282" s="1375"/>
      <c r="E282" s="1299">
        <v>1.274</v>
      </c>
      <c r="F282" s="1398"/>
      <c r="G282" s="1397"/>
      <c r="H282" s="1396"/>
      <c r="I282" s="1372"/>
      <c r="K282" s="1293">
        <v>0</v>
      </c>
      <c r="L282" s="1294">
        <v>0</v>
      </c>
      <c r="N282" s="983">
        <f t="shared" si="6"/>
        <v>1</v>
      </c>
      <c r="Z282" s="334"/>
      <c r="AA282" s="334"/>
    </row>
    <row r="283" spans="1:27">
      <c r="A283" s="96">
        <v>300758</v>
      </c>
      <c r="B283" s="1286" t="s">
        <v>387</v>
      </c>
      <c r="C283" s="645" t="s">
        <v>1195</v>
      </c>
      <c r="D283" s="1375"/>
      <c r="E283" s="1299">
        <v>1.274</v>
      </c>
      <c r="F283" s="1398"/>
      <c r="G283" s="1397"/>
      <c r="H283" s="1396"/>
      <c r="I283" s="1372"/>
      <c r="K283" s="1293">
        <v>0</v>
      </c>
      <c r="L283" s="1294">
        <v>0</v>
      </c>
      <c r="N283" s="983">
        <f t="shared" si="6"/>
        <v>1</v>
      </c>
      <c r="Z283" s="334"/>
      <c r="AA283" s="334"/>
    </row>
    <row r="284" spans="1:27">
      <c r="A284" s="96">
        <v>300767</v>
      </c>
      <c r="B284" s="1286" t="s">
        <v>388</v>
      </c>
      <c r="C284" s="645" t="s">
        <v>1196</v>
      </c>
      <c r="D284" s="1375"/>
      <c r="E284" s="1299">
        <v>1.29</v>
      </c>
      <c r="F284" s="1398"/>
      <c r="G284" s="1397"/>
      <c r="H284" s="1396"/>
      <c r="I284" s="1372"/>
      <c r="K284" s="1293">
        <v>1</v>
      </c>
      <c r="L284" s="1294">
        <v>0</v>
      </c>
      <c r="N284" s="983">
        <f t="shared" si="6"/>
        <v>0</v>
      </c>
      <c r="Z284" s="334"/>
      <c r="AA284" s="334"/>
    </row>
    <row r="285" spans="1:27">
      <c r="A285" s="96">
        <v>300768</v>
      </c>
      <c r="B285" s="1286" t="s">
        <v>389</v>
      </c>
      <c r="C285" s="645" t="s">
        <v>1196</v>
      </c>
      <c r="D285" s="1375"/>
      <c r="E285" s="1299">
        <v>1.23</v>
      </c>
      <c r="F285" s="1398"/>
      <c r="G285" s="1397"/>
      <c r="H285" s="1396"/>
      <c r="I285" s="1372"/>
      <c r="K285" s="1293">
        <v>1</v>
      </c>
      <c r="L285" s="1294">
        <v>0</v>
      </c>
      <c r="N285" s="983">
        <f t="shared" si="6"/>
        <v>0</v>
      </c>
      <c r="Z285" s="334"/>
      <c r="AA285" s="334"/>
    </row>
    <row r="286" spans="1:27">
      <c r="A286" s="96">
        <v>300771</v>
      </c>
      <c r="B286" s="1286" t="s">
        <v>372</v>
      </c>
      <c r="C286" s="645" t="s">
        <v>1196</v>
      </c>
      <c r="D286" s="1375"/>
      <c r="E286" s="1299">
        <v>1.23</v>
      </c>
      <c r="F286" s="1398"/>
      <c r="G286" s="1397"/>
      <c r="H286" s="1396"/>
      <c r="I286" s="1372"/>
      <c r="K286" s="1293">
        <v>1</v>
      </c>
      <c r="L286" s="1294">
        <v>0</v>
      </c>
      <c r="N286" s="983">
        <f t="shared" si="6"/>
        <v>0</v>
      </c>
      <c r="Z286" s="334"/>
      <c r="AA286" s="334"/>
    </row>
    <row r="287" spans="1:27">
      <c r="A287" s="96">
        <v>300772</v>
      </c>
      <c r="B287" s="1286" t="s">
        <v>806</v>
      </c>
      <c r="C287" s="645" t="s">
        <v>1196</v>
      </c>
      <c r="D287" s="1375"/>
      <c r="E287" s="1299">
        <v>1.202</v>
      </c>
      <c r="F287" s="1398"/>
      <c r="G287" s="1397"/>
      <c r="H287" s="1396"/>
      <c r="I287" s="1372"/>
      <c r="K287" s="1293">
        <v>1</v>
      </c>
      <c r="L287" s="1294">
        <v>0</v>
      </c>
      <c r="N287" s="983">
        <f t="shared" si="6"/>
        <v>0</v>
      </c>
      <c r="Z287" s="334"/>
      <c r="AA287" s="334"/>
    </row>
    <row r="288" spans="1:27">
      <c r="A288" s="96">
        <v>300773</v>
      </c>
      <c r="B288" s="1286" t="s">
        <v>149</v>
      </c>
      <c r="C288" s="645" t="s">
        <v>1196</v>
      </c>
      <c r="D288" s="1375"/>
      <c r="E288" s="1299">
        <v>2.069</v>
      </c>
      <c r="F288" s="1398"/>
      <c r="G288" s="1397"/>
      <c r="H288" s="1396"/>
      <c r="I288" s="1372"/>
      <c r="K288" s="1293">
        <v>1</v>
      </c>
      <c r="L288" s="1294">
        <v>0</v>
      </c>
      <c r="N288" s="983">
        <f t="shared" si="6"/>
        <v>0</v>
      </c>
      <c r="Z288" s="334"/>
      <c r="AA288" s="334"/>
    </row>
    <row r="289" spans="1:27">
      <c r="A289" s="96">
        <v>300779</v>
      </c>
      <c r="B289" s="1286" t="s">
        <v>807</v>
      </c>
      <c r="C289" s="645" t="s">
        <v>1196</v>
      </c>
      <c r="D289" s="1375"/>
      <c r="E289" s="1299">
        <v>1.575</v>
      </c>
      <c r="F289" s="1398"/>
      <c r="G289" s="1397"/>
      <c r="H289" s="1396"/>
      <c r="I289" s="1372"/>
      <c r="K289" s="1293">
        <v>1</v>
      </c>
      <c r="L289" s="1294">
        <v>0</v>
      </c>
      <c r="N289" s="983">
        <f t="shared" si="6"/>
        <v>0</v>
      </c>
      <c r="Z289" s="334"/>
      <c r="AA289" s="334"/>
    </row>
    <row r="290" spans="1:27">
      <c r="A290" s="96">
        <v>300784</v>
      </c>
      <c r="B290" s="1286" t="s">
        <v>390</v>
      </c>
      <c r="C290" s="645" t="s">
        <v>1196</v>
      </c>
      <c r="D290" s="1375"/>
      <c r="E290" s="1299">
        <v>1.7509999999999999</v>
      </c>
      <c r="F290" s="1398"/>
      <c r="G290" s="1397"/>
      <c r="H290" s="1396"/>
      <c r="I290" s="1372"/>
      <c r="K290" s="1293">
        <v>1</v>
      </c>
      <c r="L290" s="1294">
        <v>0</v>
      </c>
      <c r="N290" s="983">
        <f t="shared" si="6"/>
        <v>0</v>
      </c>
      <c r="Z290" s="334"/>
      <c r="AA290" s="334"/>
    </row>
    <row r="291" spans="1:27">
      <c r="A291" s="96">
        <v>300785</v>
      </c>
      <c r="B291" s="1286" t="s">
        <v>536</v>
      </c>
      <c r="C291" s="645" t="s">
        <v>1196</v>
      </c>
      <c r="D291" s="1375"/>
      <c r="E291" s="1299">
        <v>1.29</v>
      </c>
      <c r="F291" s="1398"/>
      <c r="G291" s="1397"/>
      <c r="H291" s="1396"/>
      <c r="I291" s="1372"/>
      <c r="K291" s="1293">
        <v>1</v>
      </c>
      <c r="L291" s="1294">
        <v>0</v>
      </c>
      <c r="N291" s="983">
        <f t="shared" si="6"/>
        <v>0</v>
      </c>
      <c r="Z291" s="334"/>
      <c r="AA291" s="334"/>
    </row>
    <row r="292" spans="1:27">
      <c r="A292" s="96">
        <v>300786</v>
      </c>
      <c r="B292" s="1286" t="s">
        <v>391</v>
      </c>
      <c r="C292" s="645" t="s">
        <v>1196</v>
      </c>
      <c r="D292" s="1375"/>
      <c r="E292" s="1299">
        <v>1.32</v>
      </c>
      <c r="F292" s="1398"/>
      <c r="G292" s="1397"/>
      <c r="H292" s="1396"/>
      <c r="I292" s="1372"/>
      <c r="K292" s="1293">
        <v>1</v>
      </c>
      <c r="L292" s="1294">
        <v>0</v>
      </c>
      <c r="N292" s="983">
        <f t="shared" si="6"/>
        <v>0</v>
      </c>
      <c r="Z292" s="334"/>
      <c r="AA292" s="334"/>
    </row>
    <row r="293" spans="1:27">
      <c r="A293" s="96">
        <v>300790</v>
      </c>
      <c r="B293" s="1286" t="s">
        <v>392</v>
      </c>
      <c r="C293" s="645" t="s">
        <v>1195</v>
      </c>
      <c r="D293" s="1375"/>
      <c r="E293" s="1299">
        <v>2.3130000000000002</v>
      </c>
      <c r="F293" s="1398"/>
      <c r="G293" s="1397"/>
      <c r="H293" s="1396"/>
      <c r="I293" s="1372"/>
      <c r="K293" s="1293">
        <v>0</v>
      </c>
      <c r="L293" s="1294">
        <v>0</v>
      </c>
      <c r="N293" s="983">
        <f t="shared" si="6"/>
        <v>1</v>
      </c>
      <c r="Z293" s="334"/>
      <c r="AA293" s="334"/>
    </row>
    <row r="294" spans="1:27">
      <c r="A294" s="96">
        <v>300791</v>
      </c>
      <c r="B294" s="1286" t="s">
        <v>298</v>
      </c>
      <c r="C294" s="645" t="s">
        <v>1196</v>
      </c>
      <c r="D294" s="1375"/>
      <c r="E294" s="1299">
        <v>1.23</v>
      </c>
      <c r="F294" s="1398"/>
      <c r="G294" s="1397"/>
      <c r="H294" s="1396"/>
      <c r="I294" s="1372"/>
      <c r="K294" s="1293">
        <v>1</v>
      </c>
      <c r="L294" s="1294">
        <v>0</v>
      </c>
      <c r="N294" s="983">
        <f t="shared" si="6"/>
        <v>0</v>
      </c>
      <c r="Z294" s="334"/>
      <c r="AA294" s="334"/>
    </row>
    <row r="295" spans="1:27">
      <c r="A295" s="96">
        <v>300792</v>
      </c>
      <c r="B295" s="1286" t="s">
        <v>393</v>
      </c>
      <c r="C295" s="645" t="s">
        <v>1195</v>
      </c>
      <c r="D295" s="1375"/>
      <c r="E295" s="1299">
        <v>2.1659999999999999</v>
      </c>
      <c r="F295" s="1398"/>
      <c r="G295" s="1397"/>
      <c r="H295" s="1396"/>
      <c r="I295" s="1372"/>
      <c r="K295" s="1293">
        <v>0</v>
      </c>
      <c r="L295" s="1294">
        <v>0</v>
      </c>
      <c r="N295" s="983">
        <f t="shared" si="6"/>
        <v>1</v>
      </c>
      <c r="Z295" s="334"/>
      <c r="AA295" s="334"/>
    </row>
    <row r="296" spans="1:27">
      <c r="A296" s="96">
        <v>300794</v>
      </c>
      <c r="B296" s="1286" t="s">
        <v>394</v>
      </c>
      <c r="C296" s="645" t="s">
        <v>1195</v>
      </c>
      <c r="D296" s="1375"/>
      <c r="E296" s="1299">
        <v>2.1659999999999999</v>
      </c>
      <c r="F296" s="1398"/>
      <c r="G296" s="1397"/>
      <c r="H296" s="1396"/>
      <c r="I296" s="1372"/>
      <c r="K296" s="1293">
        <v>0</v>
      </c>
      <c r="L296" s="1294">
        <v>0</v>
      </c>
      <c r="N296" s="983">
        <f t="shared" si="6"/>
        <v>1</v>
      </c>
      <c r="Z296" s="334"/>
      <c r="AA296" s="334"/>
    </row>
    <row r="297" spans="1:27">
      <c r="A297" s="96">
        <v>300795</v>
      </c>
      <c r="B297" s="1286" t="s">
        <v>395</v>
      </c>
      <c r="C297" s="645" t="s">
        <v>1196</v>
      </c>
      <c r="D297" s="1375"/>
      <c r="E297" s="1299">
        <v>1.877</v>
      </c>
      <c r="F297" s="1398"/>
      <c r="G297" s="1397"/>
      <c r="H297" s="1396"/>
      <c r="I297" s="1372"/>
      <c r="K297" s="1293">
        <v>1</v>
      </c>
      <c r="L297" s="1294">
        <v>0</v>
      </c>
      <c r="N297" s="983">
        <f t="shared" si="6"/>
        <v>0</v>
      </c>
      <c r="Z297" s="334"/>
      <c r="AA297" s="334"/>
    </row>
    <row r="298" spans="1:27">
      <c r="A298" s="96">
        <v>300798</v>
      </c>
      <c r="B298" s="1286" t="s">
        <v>299</v>
      </c>
      <c r="C298" s="645" t="s">
        <v>1196</v>
      </c>
      <c r="D298" s="1375"/>
      <c r="E298" s="1299">
        <v>1.403</v>
      </c>
      <c r="F298" s="1398"/>
      <c r="G298" s="1397"/>
      <c r="H298" s="1396"/>
      <c r="I298" s="1372"/>
      <c r="K298" s="1293">
        <v>1</v>
      </c>
      <c r="L298" s="1294">
        <v>0</v>
      </c>
      <c r="N298" s="983">
        <f t="shared" si="6"/>
        <v>0</v>
      </c>
      <c r="Z298" s="334"/>
      <c r="AA298" s="334"/>
    </row>
    <row r="299" spans="1:27">
      <c r="A299" s="96">
        <v>300800</v>
      </c>
      <c r="B299" s="1286" t="s">
        <v>396</v>
      </c>
      <c r="C299" s="645" t="s">
        <v>1196</v>
      </c>
      <c r="D299" s="1375"/>
      <c r="E299" s="1299">
        <v>1.32</v>
      </c>
      <c r="F299" s="1398"/>
      <c r="G299" s="1397"/>
      <c r="H299" s="1396"/>
      <c r="I299" s="1372"/>
      <c r="K299" s="1293">
        <v>1</v>
      </c>
      <c r="L299" s="1294">
        <v>0</v>
      </c>
      <c r="N299" s="983">
        <f t="shared" si="6"/>
        <v>0</v>
      </c>
      <c r="Z299" s="334"/>
      <c r="AA299" s="334"/>
    </row>
    <row r="300" spans="1:27">
      <c r="A300" s="96">
        <v>300801</v>
      </c>
      <c r="B300" s="1286" t="s">
        <v>1202</v>
      </c>
      <c r="C300" s="645" t="s">
        <v>1196</v>
      </c>
      <c r="D300" s="1375"/>
      <c r="E300" s="1299">
        <v>1.23</v>
      </c>
      <c r="F300" s="1398"/>
      <c r="G300" s="1397"/>
      <c r="H300" s="1396"/>
      <c r="I300" s="1372"/>
      <c r="K300" s="1293">
        <v>1</v>
      </c>
      <c r="L300" s="1294">
        <v>0</v>
      </c>
      <c r="N300" s="983">
        <f t="shared" si="6"/>
        <v>0</v>
      </c>
      <c r="Z300" s="334"/>
      <c r="AA300" s="334"/>
    </row>
    <row r="301" spans="1:27">
      <c r="A301" s="96">
        <v>300802</v>
      </c>
      <c r="B301" s="1286" t="s">
        <v>397</v>
      </c>
      <c r="C301" s="645" t="s">
        <v>1195</v>
      </c>
      <c r="D301" s="1375"/>
      <c r="E301" s="1299">
        <v>1.8049999999999999</v>
      </c>
      <c r="F301" s="1398"/>
      <c r="G301" s="1397"/>
      <c r="H301" s="1396"/>
      <c r="I301" s="1372"/>
      <c r="K301" s="1293">
        <v>0</v>
      </c>
      <c r="L301" s="1294">
        <v>0</v>
      </c>
      <c r="N301" s="983">
        <f t="shared" si="6"/>
        <v>1</v>
      </c>
      <c r="Z301" s="334"/>
      <c r="AA301" s="334"/>
    </row>
    <row r="302" spans="1:27">
      <c r="A302" s="96">
        <v>300803</v>
      </c>
      <c r="B302" s="1286" t="s">
        <v>398</v>
      </c>
      <c r="C302" s="645" t="s">
        <v>1196</v>
      </c>
      <c r="D302" s="1375"/>
      <c r="E302" s="1299">
        <v>1.32</v>
      </c>
      <c r="F302" s="1398"/>
      <c r="G302" s="1397"/>
      <c r="H302" s="1396"/>
      <c r="I302" s="1372"/>
      <c r="K302" s="1293">
        <v>1</v>
      </c>
      <c r="L302" s="1294">
        <v>0</v>
      </c>
      <c r="N302" s="983">
        <f t="shared" si="6"/>
        <v>0</v>
      </c>
      <c r="Z302" s="334"/>
      <c r="AA302" s="334"/>
    </row>
    <row r="303" spans="1:27">
      <c r="A303" s="96">
        <v>300804</v>
      </c>
      <c r="B303" s="1286" t="s">
        <v>399</v>
      </c>
      <c r="C303" s="645" t="s">
        <v>1196</v>
      </c>
      <c r="D303" s="1375"/>
      <c r="E303" s="1299">
        <v>1.23</v>
      </c>
      <c r="F303" s="1398"/>
      <c r="G303" s="1397"/>
      <c r="H303" s="1396"/>
      <c r="I303" s="1372"/>
      <c r="K303" s="1293">
        <v>1</v>
      </c>
      <c r="L303" s="1294">
        <v>0</v>
      </c>
      <c r="N303" s="983">
        <f t="shared" si="6"/>
        <v>0</v>
      </c>
      <c r="Z303" s="334"/>
      <c r="AA303" s="334"/>
    </row>
    <row r="304" spans="1:27">
      <c r="A304" s="96">
        <v>300807</v>
      </c>
      <c r="B304" s="1286" t="s">
        <v>400</v>
      </c>
      <c r="C304" s="645" t="s">
        <v>1196</v>
      </c>
      <c r="D304" s="1375"/>
      <c r="E304" s="1299">
        <v>1.2569999999999999</v>
      </c>
      <c r="F304" s="1398"/>
      <c r="G304" s="1397"/>
      <c r="H304" s="1396"/>
      <c r="I304" s="1372"/>
      <c r="K304" s="1293">
        <v>1</v>
      </c>
      <c r="L304" s="1294">
        <v>0</v>
      </c>
      <c r="N304" s="983">
        <f t="shared" si="6"/>
        <v>0</v>
      </c>
      <c r="Z304" s="334"/>
      <c r="AA304" s="334"/>
    </row>
    <row r="305" spans="1:27">
      <c r="A305" s="96">
        <v>300808</v>
      </c>
      <c r="B305" s="1286" t="s">
        <v>401</v>
      </c>
      <c r="C305" s="645" t="s">
        <v>1196</v>
      </c>
      <c r="D305" s="1375"/>
      <c r="E305" s="1299">
        <v>1.32</v>
      </c>
      <c r="F305" s="1398"/>
      <c r="G305" s="1397"/>
      <c r="H305" s="1396"/>
      <c r="I305" s="1372"/>
      <c r="K305" s="1293">
        <v>1</v>
      </c>
      <c r="L305" s="1294">
        <v>0</v>
      </c>
      <c r="N305" s="983">
        <f t="shared" si="6"/>
        <v>0</v>
      </c>
      <c r="Z305" s="334"/>
      <c r="AA305" s="334"/>
    </row>
    <row r="306" spans="1:27">
      <c r="A306" s="96">
        <v>300809</v>
      </c>
      <c r="B306" s="1286" t="s">
        <v>402</v>
      </c>
      <c r="C306" s="645" t="s">
        <v>1195</v>
      </c>
      <c r="D306" s="1375"/>
      <c r="E306" s="1299">
        <v>1.294</v>
      </c>
      <c r="F306" s="1398"/>
      <c r="G306" s="1397"/>
      <c r="H306" s="1396"/>
      <c r="I306" s="1372"/>
      <c r="K306" s="1293">
        <v>0</v>
      </c>
      <c r="L306" s="1294">
        <v>0</v>
      </c>
      <c r="N306" s="983">
        <f t="shared" si="6"/>
        <v>1</v>
      </c>
      <c r="Z306" s="334"/>
      <c r="AA306" s="334"/>
    </row>
    <row r="307" spans="1:27">
      <c r="A307" s="96">
        <v>300812</v>
      </c>
      <c r="B307" s="1286" t="s">
        <v>403</v>
      </c>
      <c r="C307" s="645" t="s">
        <v>1195</v>
      </c>
      <c r="D307" s="1375"/>
      <c r="E307" s="1299">
        <v>2.3130000000000002</v>
      </c>
      <c r="F307" s="1398"/>
      <c r="G307" s="1397"/>
      <c r="H307" s="1396"/>
      <c r="I307" s="1372"/>
      <c r="K307" s="1293">
        <v>0</v>
      </c>
      <c r="L307" s="1294">
        <v>0</v>
      </c>
      <c r="N307" s="983">
        <f t="shared" si="6"/>
        <v>1</v>
      </c>
      <c r="Z307" s="334"/>
      <c r="AA307" s="334"/>
    </row>
    <row r="308" spans="1:27">
      <c r="A308" s="96">
        <v>300813</v>
      </c>
      <c r="B308" s="1286" t="s">
        <v>404</v>
      </c>
      <c r="C308" s="645" t="s">
        <v>1195</v>
      </c>
      <c r="D308" s="1375"/>
      <c r="E308" s="1299">
        <v>2.3130000000000002</v>
      </c>
      <c r="F308" s="1398"/>
      <c r="G308" s="1397"/>
      <c r="H308" s="1396"/>
      <c r="I308" s="1372"/>
      <c r="K308" s="1293">
        <v>0</v>
      </c>
      <c r="L308" s="1294">
        <v>0</v>
      </c>
      <c r="N308" s="983">
        <f t="shared" si="6"/>
        <v>1</v>
      </c>
      <c r="Z308" s="334"/>
      <c r="AA308" s="334"/>
    </row>
    <row r="309" spans="1:27">
      <c r="A309" s="96">
        <v>300814</v>
      </c>
      <c r="B309" s="1286" t="s">
        <v>300</v>
      </c>
      <c r="C309" s="645" t="s">
        <v>1196</v>
      </c>
      <c r="D309" s="1375"/>
      <c r="E309" s="1299">
        <v>1.32</v>
      </c>
      <c r="F309" s="1398"/>
      <c r="G309" s="1397"/>
      <c r="H309" s="1396"/>
      <c r="I309" s="1372"/>
      <c r="K309" s="1293">
        <v>1</v>
      </c>
      <c r="L309" s="1294">
        <v>0</v>
      </c>
      <c r="N309" s="983">
        <f t="shared" si="6"/>
        <v>0</v>
      </c>
      <c r="Z309" s="334"/>
      <c r="AA309" s="334"/>
    </row>
    <row r="310" spans="1:27">
      <c r="A310" s="96">
        <v>300816</v>
      </c>
      <c r="B310" s="1286" t="s">
        <v>405</v>
      </c>
      <c r="C310" s="645" t="s">
        <v>1196</v>
      </c>
      <c r="D310" s="1375"/>
      <c r="E310" s="1299">
        <v>1.32</v>
      </c>
      <c r="F310" s="1398"/>
      <c r="G310" s="1397"/>
      <c r="H310" s="1396"/>
      <c r="I310" s="1372"/>
      <c r="K310" s="1293">
        <v>1</v>
      </c>
      <c r="L310" s="1294">
        <v>0</v>
      </c>
      <c r="N310" s="983">
        <f t="shared" si="6"/>
        <v>0</v>
      </c>
      <c r="Z310" s="334"/>
      <c r="AA310" s="334"/>
    </row>
    <row r="311" spans="1:27">
      <c r="A311" s="96">
        <v>300822</v>
      </c>
      <c r="B311" s="1286" t="s">
        <v>301</v>
      </c>
      <c r="C311" s="645" t="s">
        <v>1195</v>
      </c>
      <c r="D311" s="1375"/>
      <c r="E311" s="1299">
        <v>2.081</v>
      </c>
      <c r="F311" s="1398"/>
      <c r="G311" s="1397"/>
      <c r="H311" s="1396"/>
      <c r="I311" s="1372"/>
      <c r="K311" s="1293">
        <v>0</v>
      </c>
      <c r="L311" s="1294">
        <v>0</v>
      </c>
      <c r="N311" s="983">
        <f t="shared" si="6"/>
        <v>1</v>
      </c>
      <c r="Z311" s="334"/>
      <c r="AA311" s="334"/>
    </row>
    <row r="312" spans="1:27">
      <c r="A312" s="96">
        <v>300823</v>
      </c>
      <c r="B312" s="1286" t="s">
        <v>406</v>
      </c>
      <c r="C312" s="645" t="s">
        <v>1195</v>
      </c>
      <c r="D312" s="1375"/>
      <c r="E312" s="1299">
        <v>2.081</v>
      </c>
      <c r="F312" s="1398"/>
      <c r="G312" s="1397"/>
      <c r="H312" s="1396"/>
      <c r="I312" s="1372"/>
      <c r="K312" s="1293">
        <v>0</v>
      </c>
      <c r="L312" s="1294">
        <v>0</v>
      </c>
      <c r="N312" s="983">
        <f t="shared" si="6"/>
        <v>1</v>
      </c>
      <c r="Z312" s="334"/>
      <c r="AA312" s="334"/>
    </row>
    <row r="313" spans="1:27">
      <c r="A313" s="96">
        <v>300825</v>
      </c>
      <c r="B313" s="1286" t="s">
        <v>407</v>
      </c>
      <c r="C313" s="645" t="s">
        <v>1196</v>
      </c>
      <c r="D313" s="1375"/>
      <c r="E313" s="1299">
        <v>1.2210000000000001</v>
      </c>
      <c r="F313" s="1398"/>
      <c r="G313" s="1397"/>
      <c r="H313" s="1396"/>
      <c r="I313" s="1372"/>
      <c r="K313" s="1293">
        <v>1</v>
      </c>
      <c r="L313" s="1294">
        <v>0</v>
      </c>
      <c r="N313" s="983">
        <f t="shared" si="6"/>
        <v>0</v>
      </c>
      <c r="P313" s="996"/>
      <c r="Z313" s="334"/>
      <c r="AA313" s="334"/>
    </row>
    <row r="314" spans="1:27">
      <c r="A314" s="96">
        <v>300827</v>
      </c>
      <c r="B314" s="1286" t="s">
        <v>302</v>
      </c>
      <c r="C314" s="645" t="s">
        <v>1196</v>
      </c>
      <c r="D314" s="1375"/>
      <c r="E314" s="1299">
        <v>1.23</v>
      </c>
      <c r="F314" s="1398"/>
      <c r="G314" s="1397"/>
      <c r="H314" s="1396"/>
      <c r="I314" s="1372"/>
      <c r="K314" s="1293">
        <v>1</v>
      </c>
      <c r="L314" s="1294">
        <v>0</v>
      </c>
      <c r="N314" s="983">
        <f t="shared" si="6"/>
        <v>0</v>
      </c>
      <c r="Z314" s="334"/>
      <c r="AA314" s="334"/>
    </row>
    <row r="315" spans="1:27">
      <c r="A315" s="96">
        <v>300829</v>
      </c>
      <c r="B315" s="1286" t="s">
        <v>409</v>
      </c>
      <c r="C315" s="645" t="s">
        <v>1196</v>
      </c>
      <c r="D315" s="1375"/>
      <c r="E315" s="1299">
        <v>1.9219999999999999</v>
      </c>
      <c r="F315" s="1398"/>
      <c r="G315" s="1397"/>
      <c r="H315" s="1396"/>
      <c r="I315" s="1372"/>
      <c r="K315" s="1293">
        <v>1</v>
      </c>
      <c r="L315" s="1294">
        <v>0</v>
      </c>
      <c r="N315" s="983">
        <f t="shared" si="6"/>
        <v>0</v>
      </c>
      <c r="Z315" s="334"/>
      <c r="AA315" s="334"/>
    </row>
    <row r="316" spans="1:27">
      <c r="A316" s="96">
        <v>300830</v>
      </c>
      <c r="B316" s="1286" t="s">
        <v>410</v>
      </c>
      <c r="C316" s="645" t="s">
        <v>1196</v>
      </c>
      <c r="D316" s="1375"/>
      <c r="E316" s="1299">
        <v>1.4670000000000001</v>
      </c>
      <c r="F316" s="1398"/>
      <c r="G316" s="1397"/>
      <c r="H316" s="1396"/>
      <c r="I316" s="1372"/>
      <c r="K316" s="1293">
        <v>1</v>
      </c>
      <c r="L316" s="1294">
        <v>0</v>
      </c>
      <c r="N316" s="983">
        <f t="shared" si="6"/>
        <v>0</v>
      </c>
      <c r="Z316" s="334"/>
      <c r="AA316" s="334"/>
    </row>
    <row r="317" spans="1:27">
      <c r="A317" s="96">
        <v>300840</v>
      </c>
      <c r="B317" s="1286" t="s">
        <v>652</v>
      </c>
      <c r="C317" s="645" t="s">
        <v>1196</v>
      </c>
      <c r="D317" s="1375"/>
      <c r="E317" s="1299">
        <v>1.9219999999999999</v>
      </c>
      <c r="F317" s="1398"/>
      <c r="G317" s="1397"/>
      <c r="H317" s="1396"/>
      <c r="I317" s="1372"/>
      <c r="K317" s="1293">
        <v>1</v>
      </c>
      <c r="L317" s="1294">
        <v>0</v>
      </c>
      <c r="N317" s="983">
        <f t="shared" si="6"/>
        <v>0</v>
      </c>
      <c r="Z317" s="334"/>
      <c r="AA317" s="334"/>
    </row>
    <row r="318" spans="1:27">
      <c r="A318" s="96">
        <v>300843</v>
      </c>
      <c r="B318" s="1286" t="s">
        <v>411</v>
      </c>
      <c r="C318" s="645" t="s">
        <v>1196</v>
      </c>
      <c r="D318" s="1375"/>
      <c r="E318" s="1299">
        <v>1.32</v>
      </c>
      <c r="F318" s="1398"/>
      <c r="G318" s="1397"/>
      <c r="H318" s="1396"/>
      <c r="I318" s="1372"/>
      <c r="K318" s="1293">
        <v>1</v>
      </c>
      <c r="L318" s="1294">
        <v>0</v>
      </c>
      <c r="N318" s="983">
        <f t="shared" si="6"/>
        <v>0</v>
      </c>
      <c r="Z318" s="334"/>
      <c r="AA318" s="334"/>
    </row>
    <row r="319" spans="1:27">
      <c r="A319" s="96">
        <v>300844</v>
      </c>
      <c r="B319" s="1286" t="s">
        <v>412</v>
      </c>
      <c r="C319" s="645" t="s">
        <v>1196</v>
      </c>
      <c r="D319" s="1375"/>
      <c r="E319" s="1299">
        <v>1.994</v>
      </c>
      <c r="F319" s="1398"/>
      <c r="G319" s="1397"/>
      <c r="H319" s="1396"/>
      <c r="I319" s="1372"/>
      <c r="K319" s="1293">
        <v>1</v>
      </c>
      <c r="L319" s="1294">
        <v>0</v>
      </c>
      <c r="N319" s="983">
        <f t="shared" si="6"/>
        <v>0</v>
      </c>
      <c r="Z319" s="334"/>
      <c r="AA319" s="334"/>
    </row>
    <row r="320" spans="1:27">
      <c r="A320" s="96">
        <v>300846</v>
      </c>
      <c r="B320" s="1286" t="s">
        <v>413</v>
      </c>
      <c r="C320" s="645" t="s">
        <v>1196</v>
      </c>
      <c r="D320" s="1375"/>
      <c r="E320" s="1299">
        <v>1.202</v>
      </c>
      <c r="F320" s="1398"/>
      <c r="G320" s="1397"/>
      <c r="H320" s="1396"/>
      <c r="I320" s="1372"/>
      <c r="K320" s="1293">
        <v>1</v>
      </c>
      <c r="L320" s="1294">
        <v>0</v>
      </c>
      <c r="N320" s="983">
        <f t="shared" si="6"/>
        <v>0</v>
      </c>
      <c r="Z320" s="334"/>
      <c r="AA320" s="334"/>
    </row>
    <row r="321" spans="1:27">
      <c r="A321" s="96">
        <v>300847</v>
      </c>
      <c r="B321" s="1286" t="s">
        <v>414</v>
      </c>
      <c r="C321" s="645" t="s">
        <v>1196</v>
      </c>
      <c r="D321" s="1375"/>
      <c r="E321" s="1299">
        <v>1.4670000000000001</v>
      </c>
      <c r="F321" s="1398"/>
      <c r="G321" s="1397"/>
      <c r="H321" s="1396"/>
      <c r="I321" s="1372"/>
      <c r="K321" s="1293">
        <v>1</v>
      </c>
      <c r="L321" s="1294">
        <v>0</v>
      </c>
      <c r="N321" s="983">
        <f t="shared" si="6"/>
        <v>0</v>
      </c>
      <c r="Z321" s="334"/>
      <c r="AA321" s="334"/>
    </row>
    <row r="322" spans="1:27">
      <c r="A322" s="96">
        <v>300851</v>
      </c>
      <c r="B322" s="1286" t="s">
        <v>416</v>
      </c>
      <c r="C322" s="645" t="s">
        <v>1196</v>
      </c>
      <c r="D322" s="1375"/>
      <c r="E322" s="1299">
        <v>1.3109999999999999</v>
      </c>
      <c r="F322" s="1398"/>
      <c r="G322" s="1397"/>
      <c r="H322" s="1396"/>
      <c r="I322" s="1372"/>
      <c r="K322" s="1293">
        <v>1</v>
      </c>
      <c r="L322" s="1294">
        <v>0</v>
      </c>
      <c r="N322" s="983">
        <f t="shared" si="6"/>
        <v>0</v>
      </c>
      <c r="Z322" s="334"/>
      <c r="AA322" s="334"/>
    </row>
    <row r="323" spans="1:27">
      <c r="A323" s="96">
        <v>300852</v>
      </c>
      <c r="B323" s="1286" t="s">
        <v>417</v>
      </c>
      <c r="C323" s="645" t="s">
        <v>1196</v>
      </c>
      <c r="D323" s="1375"/>
      <c r="E323" s="1299">
        <v>1.403</v>
      </c>
      <c r="F323" s="1398"/>
      <c r="G323" s="1397"/>
      <c r="H323" s="1396"/>
      <c r="I323" s="1372"/>
      <c r="K323" s="1293">
        <v>1</v>
      </c>
      <c r="L323" s="1294">
        <v>0</v>
      </c>
      <c r="N323" s="983">
        <f t="shared" si="6"/>
        <v>0</v>
      </c>
      <c r="Z323" s="334"/>
      <c r="AA323" s="334"/>
    </row>
    <row r="324" spans="1:27">
      <c r="A324" s="96">
        <v>300854</v>
      </c>
      <c r="B324" s="1286" t="s">
        <v>418</v>
      </c>
      <c r="C324" s="645" t="s">
        <v>1196</v>
      </c>
      <c r="D324" s="1375"/>
      <c r="E324" s="1299">
        <v>0.753</v>
      </c>
      <c r="F324" s="1398"/>
      <c r="G324" s="1397"/>
      <c r="H324" s="1396"/>
      <c r="I324" s="1372"/>
      <c r="K324" s="1293">
        <v>1</v>
      </c>
      <c r="L324" s="1294">
        <v>0</v>
      </c>
      <c r="N324" s="983">
        <f t="shared" si="6"/>
        <v>0</v>
      </c>
      <c r="Z324" s="334"/>
      <c r="AA324" s="334"/>
    </row>
    <row r="325" spans="1:27">
      <c r="A325" s="96">
        <v>300855</v>
      </c>
      <c r="B325" s="1286" t="s">
        <v>303</v>
      </c>
      <c r="C325" s="645" t="s">
        <v>1196</v>
      </c>
      <c r="D325" s="1375"/>
      <c r="E325" s="1299">
        <v>1.23</v>
      </c>
      <c r="F325" s="1398"/>
      <c r="G325" s="1397"/>
      <c r="H325" s="1396"/>
      <c r="I325" s="1372"/>
      <c r="K325" s="1293">
        <v>1</v>
      </c>
      <c r="L325" s="1294">
        <v>0</v>
      </c>
      <c r="N325" s="983">
        <f t="shared" si="6"/>
        <v>0</v>
      </c>
      <c r="Z325" s="334"/>
      <c r="AA325" s="334"/>
    </row>
    <row r="326" spans="1:27">
      <c r="A326" s="96">
        <v>300856</v>
      </c>
      <c r="B326" s="1286" t="s">
        <v>808</v>
      </c>
      <c r="C326" s="645" t="s">
        <v>1196</v>
      </c>
      <c r="D326" s="1375"/>
      <c r="E326" s="1299">
        <v>1.018</v>
      </c>
      <c r="F326" s="1398"/>
      <c r="G326" s="1397"/>
      <c r="H326" s="1396"/>
      <c r="I326" s="1372"/>
      <c r="K326" s="1293">
        <v>1</v>
      </c>
      <c r="L326" s="1294">
        <v>0</v>
      </c>
      <c r="N326" s="983">
        <f t="shared" si="6"/>
        <v>0</v>
      </c>
      <c r="Z326" s="334"/>
      <c r="AA326" s="334"/>
    </row>
    <row r="327" spans="1:27">
      <c r="A327" s="96">
        <v>300857</v>
      </c>
      <c r="B327" s="1286" t="s">
        <v>419</v>
      </c>
      <c r="C327" s="645" t="s">
        <v>1196</v>
      </c>
      <c r="D327" s="1375"/>
      <c r="E327" s="1299">
        <v>1.401</v>
      </c>
      <c r="F327" s="1398"/>
      <c r="G327" s="1397"/>
      <c r="H327" s="1396"/>
      <c r="I327" s="1372"/>
      <c r="K327" s="1293">
        <v>1</v>
      </c>
      <c r="L327" s="1294">
        <v>0</v>
      </c>
      <c r="N327" s="983">
        <f t="shared" si="6"/>
        <v>0</v>
      </c>
      <c r="Z327" s="334"/>
      <c r="AA327" s="334"/>
    </row>
    <row r="328" spans="1:27">
      <c r="A328" s="96">
        <v>300858</v>
      </c>
      <c r="B328" s="1286" t="s">
        <v>304</v>
      </c>
      <c r="C328" s="645" t="s">
        <v>1196</v>
      </c>
      <c r="D328" s="1375"/>
      <c r="E328" s="1299">
        <v>1.23</v>
      </c>
      <c r="F328" s="1398"/>
      <c r="G328" s="1397"/>
      <c r="H328" s="1396"/>
      <c r="I328" s="1372"/>
      <c r="K328" s="1293">
        <v>1</v>
      </c>
      <c r="L328" s="1294">
        <v>0</v>
      </c>
      <c r="N328" s="983">
        <f t="shared" si="6"/>
        <v>0</v>
      </c>
      <c r="Z328" s="334"/>
      <c r="AA328" s="334"/>
    </row>
    <row r="329" spans="1:27">
      <c r="A329" s="96">
        <v>300885</v>
      </c>
      <c r="B329" s="1286" t="s">
        <v>653</v>
      </c>
      <c r="C329" s="645" t="s">
        <v>1196</v>
      </c>
      <c r="D329" s="1375"/>
      <c r="E329" s="1299">
        <v>2.8889999999999998</v>
      </c>
      <c r="F329" s="1398"/>
      <c r="G329" s="1397"/>
      <c r="H329" s="1396"/>
      <c r="I329" s="1372"/>
      <c r="K329" s="1293">
        <v>1</v>
      </c>
      <c r="L329" s="1294">
        <v>0</v>
      </c>
      <c r="N329" s="983">
        <f t="shared" si="6"/>
        <v>0</v>
      </c>
      <c r="Z329" s="334"/>
      <c r="AA329" s="334"/>
    </row>
    <row r="330" spans="1:27">
      <c r="A330" s="96">
        <v>300887</v>
      </c>
      <c r="B330" s="1286" t="s">
        <v>809</v>
      </c>
      <c r="C330" s="645" t="s">
        <v>1195</v>
      </c>
      <c r="D330" s="1375"/>
      <c r="E330" s="1299">
        <v>3.1949999999999998</v>
      </c>
      <c r="F330" s="1398"/>
      <c r="G330" s="1397"/>
      <c r="H330" s="1396"/>
      <c r="I330" s="1372"/>
      <c r="K330" s="1293">
        <v>0</v>
      </c>
      <c r="L330" s="1294">
        <v>0</v>
      </c>
      <c r="N330" s="983">
        <f t="shared" ref="N330:N393" si="7">IF(C330="local distribution point",1,0)</f>
        <v>1</v>
      </c>
      <c r="Z330" s="334"/>
      <c r="AA330" s="334"/>
    </row>
    <row r="331" spans="1:27">
      <c r="A331" s="96">
        <v>300888</v>
      </c>
      <c r="B331" s="1286" t="s">
        <v>382</v>
      </c>
      <c r="C331" s="645" t="s">
        <v>1196</v>
      </c>
      <c r="D331" s="1375"/>
      <c r="E331" s="1299">
        <v>2.0030000000000001</v>
      </c>
      <c r="F331" s="1398"/>
      <c r="G331" s="1397"/>
      <c r="H331" s="1396"/>
      <c r="I331" s="1372"/>
      <c r="K331" s="1293">
        <v>1</v>
      </c>
      <c r="L331" s="1294">
        <v>0</v>
      </c>
      <c r="N331" s="983">
        <f t="shared" si="7"/>
        <v>0</v>
      </c>
      <c r="Z331" s="334"/>
      <c r="AA331" s="334"/>
    </row>
    <row r="332" spans="1:27">
      <c r="A332" s="96">
        <v>300889</v>
      </c>
      <c r="B332" s="1286" t="s">
        <v>810</v>
      </c>
      <c r="C332" s="645" t="s">
        <v>1196</v>
      </c>
      <c r="D332" s="1375"/>
      <c r="E332" s="1299">
        <v>2.016</v>
      </c>
      <c r="F332" s="1398"/>
      <c r="G332" s="1397"/>
      <c r="H332" s="1396"/>
      <c r="I332" s="1372"/>
      <c r="K332" s="1293">
        <v>1</v>
      </c>
      <c r="L332" s="1294">
        <v>0</v>
      </c>
      <c r="N332" s="983">
        <f t="shared" si="7"/>
        <v>0</v>
      </c>
      <c r="Z332" s="334"/>
      <c r="AA332" s="334"/>
    </row>
    <row r="333" spans="1:27">
      <c r="A333" s="96">
        <v>300892</v>
      </c>
      <c r="B333" s="1286" t="s">
        <v>420</v>
      </c>
      <c r="C333" s="645" t="s">
        <v>1196</v>
      </c>
      <c r="D333" s="1375"/>
      <c r="E333" s="1299">
        <v>2.879</v>
      </c>
      <c r="F333" s="1398"/>
      <c r="G333" s="1397"/>
      <c r="H333" s="1396"/>
      <c r="I333" s="1372"/>
      <c r="K333" s="1293">
        <v>1</v>
      </c>
      <c r="L333" s="1294">
        <v>0</v>
      </c>
      <c r="N333" s="983">
        <f t="shared" si="7"/>
        <v>0</v>
      </c>
      <c r="Z333" s="334"/>
      <c r="AA333" s="334"/>
    </row>
    <row r="334" spans="1:27">
      <c r="A334" s="96">
        <v>300893</v>
      </c>
      <c r="B334" s="1286" t="s">
        <v>421</v>
      </c>
      <c r="C334" s="645" t="s">
        <v>1196</v>
      </c>
      <c r="D334" s="1375"/>
      <c r="E334" s="1299">
        <v>1.4119999999999999</v>
      </c>
      <c r="F334" s="1398"/>
      <c r="G334" s="1397"/>
      <c r="H334" s="1396"/>
      <c r="I334" s="1372"/>
      <c r="K334" s="1293">
        <v>1</v>
      </c>
      <c r="L334" s="1294">
        <v>0</v>
      </c>
      <c r="N334" s="983">
        <f t="shared" si="7"/>
        <v>0</v>
      </c>
      <c r="Z334" s="334"/>
      <c r="AA334" s="334"/>
    </row>
    <row r="335" spans="1:27">
      <c r="A335" s="96">
        <v>300895</v>
      </c>
      <c r="B335" s="1286" t="s">
        <v>422</v>
      </c>
      <c r="C335" s="645" t="s">
        <v>1196</v>
      </c>
      <c r="D335" s="1375"/>
      <c r="E335" s="1299">
        <v>2.0070000000000001</v>
      </c>
      <c r="F335" s="1398"/>
      <c r="G335" s="1397"/>
      <c r="H335" s="1396"/>
      <c r="I335" s="1372"/>
      <c r="K335" s="1293">
        <v>1</v>
      </c>
      <c r="L335" s="1294">
        <v>0</v>
      </c>
      <c r="N335" s="983">
        <f t="shared" si="7"/>
        <v>0</v>
      </c>
      <c r="Z335" s="334"/>
      <c r="AA335" s="334"/>
    </row>
    <row r="336" spans="1:27">
      <c r="A336" s="96">
        <v>300896</v>
      </c>
      <c r="B336" s="1286" t="s">
        <v>423</v>
      </c>
      <c r="C336" s="645" t="s">
        <v>1196</v>
      </c>
      <c r="D336" s="1375"/>
      <c r="E336" s="1299">
        <v>2.0950000000000002</v>
      </c>
      <c r="F336" s="1398"/>
      <c r="G336" s="1397"/>
      <c r="H336" s="1396"/>
      <c r="I336" s="1372"/>
      <c r="K336" s="1293">
        <v>1</v>
      </c>
      <c r="L336" s="1294">
        <v>0</v>
      </c>
      <c r="N336" s="983">
        <f t="shared" si="7"/>
        <v>0</v>
      </c>
      <c r="Z336" s="334"/>
      <c r="AA336" s="334"/>
    </row>
    <row r="337" spans="1:27">
      <c r="A337" s="96">
        <v>300899</v>
      </c>
      <c r="B337" s="1286" t="s">
        <v>654</v>
      </c>
      <c r="C337" s="645" t="s">
        <v>1196</v>
      </c>
      <c r="D337" s="1375"/>
      <c r="E337" s="1299">
        <v>1.718</v>
      </c>
      <c r="F337" s="1398"/>
      <c r="G337" s="1397"/>
      <c r="H337" s="1396"/>
      <c r="I337" s="1372"/>
      <c r="K337" s="1293">
        <v>1</v>
      </c>
      <c r="L337" s="1294">
        <v>0</v>
      </c>
      <c r="N337" s="983">
        <f t="shared" si="7"/>
        <v>0</v>
      </c>
      <c r="Z337" s="334"/>
      <c r="AA337" s="334"/>
    </row>
    <row r="338" spans="1:27">
      <c r="A338" s="96">
        <v>300903</v>
      </c>
      <c r="B338" s="1286" t="s">
        <v>424</v>
      </c>
      <c r="C338" s="645" t="s">
        <v>1196</v>
      </c>
      <c r="D338" s="1375"/>
      <c r="E338" s="1299">
        <v>1.9650000000000001</v>
      </c>
      <c r="F338" s="1398"/>
      <c r="G338" s="1397"/>
      <c r="H338" s="1396"/>
      <c r="I338" s="1372"/>
      <c r="K338" s="1293">
        <v>1</v>
      </c>
      <c r="L338" s="1294">
        <v>0</v>
      </c>
      <c r="N338" s="983">
        <f t="shared" si="7"/>
        <v>0</v>
      </c>
      <c r="Z338" s="334"/>
      <c r="AA338" s="334"/>
    </row>
    <row r="339" spans="1:27">
      <c r="A339" s="96">
        <v>300905</v>
      </c>
      <c r="B339" s="1286" t="s">
        <v>425</v>
      </c>
      <c r="C339" s="645" t="s">
        <v>1196</v>
      </c>
      <c r="D339" s="1375"/>
      <c r="E339" s="1299">
        <v>2.3479999999999999</v>
      </c>
      <c r="F339" s="1398"/>
      <c r="G339" s="1397"/>
      <c r="H339" s="1396"/>
      <c r="I339" s="1372"/>
      <c r="K339" s="1293">
        <v>1</v>
      </c>
      <c r="L339" s="1294">
        <v>0</v>
      </c>
      <c r="N339" s="983">
        <f t="shared" si="7"/>
        <v>0</v>
      </c>
      <c r="P339" s="996"/>
      <c r="Z339" s="334"/>
      <c r="AA339" s="334"/>
    </row>
    <row r="340" spans="1:27">
      <c r="A340" s="96">
        <v>300906</v>
      </c>
      <c r="B340" s="1286" t="s">
        <v>811</v>
      </c>
      <c r="C340" s="645" t="s">
        <v>1196</v>
      </c>
      <c r="D340" s="1375"/>
      <c r="E340" s="1299">
        <v>2.6749999999999998</v>
      </c>
      <c r="F340" s="1398"/>
      <c r="G340" s="1397"/>
      <c r="H340" s="1396"/>
      <c r="I340" s="1372"/>
      <c r="K340" s="1293">
        <v>1</v>
      </c>
      <c r="L340" s="1294">
        <v>0</v>
      </c>
      <c r="N340" s="983">
        <f t="shared" si="7"/>
        <v>0</v>
      </c>
      <c r="Z340" s="334"/>
      <c r="AA340" s="334"/>
    </row>
    <row r="341" spans="1:27">
      <c r="A341" s="96">
        <v>300907</v>
      </c>
      <c r="B341" s="1286" t="s">
        <v>426</v>
      </c>
      <c r="C341" s="645" t="s">
        <v>1196</v>
      </c>
      <c r="D341" s="1375"/>
      <c r="E341" s="1299">
        <v>2.0070000000000001</v>
      </c>
      <c r="F341" s="1398"/>
      <c r="G341" s="1397"/>
      <c r="H341" s="1396"/>
      <c r="I341" s="1372"/>
      <c r="K341" s="1293">
        <v>1</v>
      </c>
      <c r="L341" s="1294">
        <v>0</v>
      </c>
      <c r="N341" s="983">
        <f t="shared" si="7"/>
        <v>0</v>
      </c>
      <c r="Z341" s="334"/>
      <c r="AA341" s="334"/>
    </row>
    <row r="342" spans="1:27">
      <c r="A342" s="96">
        <v>300908</v>
      </c>
      <c r="B342" s="1286" t="s">
        <v>427</v>
      </c>
      <c r="C342" s="645" t="s">
        <v>1196</v>
      </c>
      <c r="D342" s="1375"/>
      <c r="E342" s="1299">
        <v>2.6749999999999998</v>
      </c>
      <c r="F342" s="1398"/>
      <c r="G342" s="1397"/>
      <c r="H342" s="1396"/>
      <c r="I342" s="1372"/>
      <c r="K342" s="1293">
        <v>1</v>
      </c>
      <c r="L342" s="1294">
        <v>0</v>
      </c>
      <c r="N342" s="983">
        <f t="shared" si="7"/>
        <v>0</v>
      </c>
      <c r="Z342" s="334"/>
      <c r="AA342" s="334"/>
    </row>
    <row r="343" spans="1:27">
      <c r="A343" s="96">
        <v>300909</v>
      </c>
      <c r="B343" s="1286" t="s">
        <v>812</v>
      </c>
      <c r="C343" s="645" t="s">
        <v>1196</v>
      </c>
      <c r="D343" s="1375"/>
      <c r="E343" s="1299">
        <v>3.3010000000000002</v>
      </c>
      <c r="F343" s="1398"/>
      <c r="G343" s="1397"/>
      <c r="H343" s="1396"/>
      <c r="I343" s="1372"/>
      <c r="K343" s="1293">
        <v>1</v>
      </c>
      <c r="L343" s="1294">
        <v>0</v>
      </c>
      <c r="N343" s="983">
        <f t="shared" si="7"/>
        <v>0</v>
      </c>
      <c r="Z343" s="334"/>
      <c r="AA343" s="334"/>
    </row>
    <row r="344" spans="1:27">
      <c r="A344" s="96">
        <v>300910</v>
      </c>
      <c r="B344" s="1286" t="s">
        <v>305</v>
      </c>
      <c r="C344" s="645" t="s">
        <v>1196</v>
      </c>
      <c r="D344" s="1375"/>
      <c r="E344" s="1299">
        <v>2</v>
      </c>
      <c r="F344" s="1398"/>
      <c r="G344" s="1397"/>
      <c r="H344" s="1396"/>
      <c r="I344" s="1372"/>
      <c r="K344" s="1293">
        <v>1</v>
      </c>
      <c r="L344" s="1294">
        <v>0</v>
      </c>
      <c r="N344" s="983">
        <f t="shared" si="7"/>
        <v>0</v>
      </c>
      <c r="Z344" s="334"/>
      <c r="AA344" s="334"/>
    </row>
    <row r="345" spans="1:27">
      <c r="A345" s="96">
        <v>300911</v>
      </c>
      <c r="B345" s="1286" t="s">
        <v>813</v>
      </c>
      <c r="C345" s="645" t="s">
        <v>1196</v>
      </c>
      <c r="D345" s="1375"/>
      <c r="E345" s="1299">
        <v>2.0070000000000001</v>
      </c>
      <c r="F345" s="1398"/>
      <c r="G345" s="1397"/>
      <c r="H345" s="1396"/>
      <c r="I345" s="1372"/>
      <c r="K345" s="1293">
        <v>1</v>
      </c>
      <c r="L345" s="1294">
        <v>0</v>
      </c>
      <c r="N345" s="983">
        <f t="shared" si="7"/>
        <v>0</v>
      </c>
      <c r="Z345" s="334"/>
      <c r="AA345" s="334"/>
    </row>
    <row r="346" spans="1:27">
      <c r="A346" s="96">
        <v>300912</v>
      </c>
      <c r="B346" s="1286" t="s">
        <v>814</v>
      </c>
      <c r="C346" s="645" t="s">
        <v>1196</v>
      </c>
      <c r="D346" s="1375"/>
      <c r="E346" s="1299">
        <v>2.3479999999999999</v>
      </c>
      <c r="F346" s="1398"/>
      <c r="G346" s="1397"/>
      <c r="H346" s="1396"/>
      <c r="I346" s="1372"/>
      <c r="K346" s="1293">
        <v>1</v>
      </c>
      <c r="L346" s="1294">
        <v>0</v>
      </c>
      <c r="N346" s="983">
        <f t="shared" si="7"/>
        <v>0</v>
      </c>
      <c r="Z346" s="334"/>
      <c r="AA346" s="334"/>
    </row>
    <row r="347" spans="1:27">
      <c r="A347" s="96">
        <v>300916</v>
      </c>
      <c r="B347" s="1286" t="s">
        <v>306</v>
      </c>
      <c r="C347" s="645" t="s">
        <v>1195</v>
      </c>
      <c r="D347" s="1375"/>
      <c r="E347" s="1299">
        <v>2.7930000000000001</v>
      </c>
      <c r="F347" s="1398"/>
      <c r="G347" s="1397"/>
      <c r="H347" s="1396"/>
      <c r="I347" s="1372"/>
      <c r="K347" s="1293">
        <v>0</v>
      </c>
      <c r="L347" s="1294">
        <v>0</v>
      </c>
      <c r="N347" s="983">
        <f t="shared" si="7"/>
        <v>1</v>
      </c>
      <c r="Z347" s="334"/>
      <c r="AA347" s="334"/>
    </row>
    <row r="348" spans="1:27">
      <c r="A348" s="96">
        <v>300923</v>
      </c>
      <c r="B348" s="1286" t="s">
        <v>307</v>
      </c>
      <c r="C348" s="645" t="s">
        <v>1195</v>
      </c>
      <c r="D348" s="1375"/>
      <c r="E348" s="1299">
        <v>2.7930000000000001</v>
      </c>
      <c r="F348" s="1398"/>
      <c r="G348" s="1397"/>
      <c r="H348" s="1396"/>
      <c r="I348" s="1372"/>
      <c r="K348" s="1293">
        <v>0</v>
      </c>
      <c r="L348" s="1294">
        <v>0</v>
      </c>
      <c r="N348" s="983">
        <f t="shared" si="7"/>
        <v>1</v>
      </c>
      <c r="Z348" s="334"/>
      <c r="AA348" s="334"/>
    </row>
    <row r="349" spans="1:27">
      <c r="A349" s="96">
        <v>300927</v>
      </c>
      <c r="B349" s="1286" t="s">
        <v>202</v>
      </c>
      <c r="C349" s="645" t="s">
        <v>1195</v>
      </c>
      <c r="D349" s="1375"/>
      <c r="E349" s="1299">
        <v>2.6459999999999999</v>
      </c>
      <c r="F349" s="1398"/>
      <c r="G349" s="1397"/>
      <c r="H349" s="1396"/>
      <c r="I349" s="1372"/>
      <c r="K349" s="1293">
        <v>0</v>
      </c>
      <c r="L349" s="1294">
        <v>0</v>
      </c>
      <c r="N349" s="983">
        <f t="shared" si="7"/>
        <v>1</v>
      </c>
      <c r="Z349" s="334"/>
      <c r="AA349" s="334"/>
    </row>
    <row r="350" spans="1:27">
      <c r="A350" s="96">
        <v>300940</v>
      </c>
      <c r="B350" s="1286" t="s">
        <v>203</v>
      </c>
      <c r="C350" s="645" t="s">
        <v>1196</v>
      </c>
      <c r="D350" s="1375"/>
      <c r="E350" s="1299">
        <v>2.0950000000000002</v>
      </c>
      <c r="F350" s="1398"/>
      <c r="G350" s="1397"/>
      <c r="H350" s="1396"/>
      <c r="I350" s="1372"/>
      <c r="K350" s="1293">
        <v>1</v>
      </c>
      <c r="L350" s="1294">
        <v>0</v>
      </c>
      <c r="N350" s="983">
        <f t="shared" si="7"/>
        <v>0</v>
      </c>
      <c r="Z350" s="334"/>
      <c r="AA350" s="334"/>
    </row>
    <row r="351" spans="1:27">
      <c r="A351" s="96">
        <v>300942</v>
      </c>
      <c r="B351" s="1286" t="s">
        <v>204</v>
      </c>
      <c r="C351" s="645" t="s">
        <v>1195</v>
      </c>
      <c r="D351" s="1375"/>
      <c r="E351" s="1299">
        <v>2.7330000000000001</v>
      </c>
      <c r="F351" s="1398"/>
      <c r="G351" s="1397"/>
      <c r="H351" s="1396"/>
      <c r="I351" s="1372"/>
      <c r="K351" s="1293">
        <v>0</v>
      </c>
      <c r="L351" s="1294">
        <v>0</v>
      </c>
      <c r="N351" s="983">
        <f t="shared" si="7"/>
        <v>1</v>
      </c>
      <c r="Z351" s="334"/>
      <c r="AA351" s="334"/>
    </row>
    <row r="352" spans="1:27">
      <c r="A352" s="96">
        <v>300952</v>
      </c>
      <c r="B352" s="1286" t="s">
        <v>205</v>
      </c>
      <c r="C352" s="645" t="s">
        <v>1195</v>
      </c>
      <c r="D352" s="1375"/>
      <c r="E352" s="1299">
        <v>2.6459999999999999</v>
      </c>
      <c r="F352" s="1398"/>
      <c r="G352" s="1397"/>
      <c r="H352" s="1396"/>
      <c r="I352" s="1372"/>
      <c r="K352" s="1293">
        <v>0</v>
      </c>
      <c r="L352" s="1294">
        <v>0</v>
      </c>
      <c r="N352" s="983">
        <f t="shared" si="7"/>
        <v>1</v>
      </c>
      <c r="Z352" s="334"/>
      <c r="AA352" s="334"/>
    </row>
    <row r="353" spans="1:27">
      <c r="A353" s="96">
        <v>300954</v>
      </c>
      <c r="B353" s="1286" t="s">
        <v>308</v>
      </c>
      <c r="C353" s="645" t="s">
        <v>1195</v>
      </c>
      <c r="D353" s="1375"/>
      <c r="E353" s="1299">
        <v>2.3479999999999999</v>
      </c>
      <c r="F353" s="1398"/>
      <c r="G353" s="1397"/>
      <c r="H353" s="1396"/>
      <c r="I353" s="1372"/>
      <c r="K353" s="1293">
        <v>0</v>
      </c>
      <c r="L353" s="1294">
        <v>0</v>
      </c>
      <c r="N353" s="983">
        <f t="shared" si="7"/>
        <v>1</v>
      </c>
      <c r="Z353" s="334"/>
      <c r="AA353" s="334"/>
    </row>
    <row r="354" spans="1:27">
      <c r="A354" s="96">
        <v>300958</v>
      </c>
      <c r="B354" s="1286" t="s">
        <v>206</v>
      </c>
      <c r="C354" s="645" t="s">
        <v>1195</v>
      </c>
      <c r="D354" s="1375"/>
      <c r="E354" s="1299">
        <v>2.262</v>
      </c>
      <c r="F354" s="1398"/>
      <c r="G354" s="1397"/>
      <c r="H354" s="1396"/>
      <c r="I354" s="1372"/>
      <c r="K354" s="1293">
        <v>0</v>
      </c>
      <c r="L354" s="1294">
        <v>0</v>
      </c>
      <c r="N354" s="983">
        <f t="shared" si="7"/>
        <v>1</v>
      </c>
      <c r="Z354" s="334"/>
      <c r="AA354" s="334"/>
    </row>
    <row r="355" spans="1:27">
      <c r="A355" s="96">
        <v>300965</v>
      </c>
      <c r="B355" s="1286" t="s">
        <v>207</v>
      </c>
      <c r="C355" s="645" t="s">
        <v>1195</v>
      </c>
      <c r="D355" s="1375"/>
      <c r="E355" s="1299">
        <v>3.0150000000000001</v>
      </c>
      <c r="F355" s="1398"/>
      <c r="G355" s="1397"/>
      <c r="H355" s="1396"/>
      <c r="I355" s="1372"/>
      <c r="K355" s="1293">
        <v>0</v>
      </c>
      <c r="L355" s="1294">
        <v>0</v>
      </c>
      <c r="N355" s="983">
        <f t="shared" si="7"/>
        <v>1</v>
      </c>
      <c r="Z355" s="334"/>
      <c r="AA355" s="334"/>
    </row>
    <row r="356" spans="1:27">
      <c r="A356" s="96">
        <v>300968</v>
      </c>
      <c r="B356" s="1286" t="s">
        <v>208</v>
      </c>
      <c r="C356" s="645" t="s">
        <v>1196</v>
      </c>
      <c r="D356" s="1375"/>
      <c r="E356" s="1299">
        <v>1.9650000000000001</v>
      </c>
      <c r="F356" s="1398"/>
      <c r="G356" s="1397"/>
      <c r="H356" s="1396"/>
      <c r="I356" s="1372"/>
      <c r="K356" s="1293">
        <v>1</v>
      </c>
      <c r="L356" s="1294">
        <v>0</v>
      </c>
      <c r="N356" s="983">
        <f t="shared" si="7"/>
        <v>0</v>
      </c>
      <c r="Z356" s="334"/>
      <c r="AA356" s="334"/>
    </row>
    <row r="357" spans="1:27">
      <c r="A357" s="96">
        <v>300975</v>
      </c>
      <c r="B357" s="1286" t="s">
        <v>815</v>
      </c>
      <c r="C357" s="645" t="s">
        <v>1196</v>
      </c>
      <c r="D357" s="1375"/>
      <c r="E357" s="1299">
        <v>2.0950000000000002</v>
      </c>
      <c r="F357" s="1398"/>
      <c r="G357" s="1397"/>
      <c r="H357" s="1396"/>
      <c r="I357" s="1372"/>
      <c r="K357" s="1293">
        <v>1</v>
      </c>
      <c r="L357" s="1294">
        <v>0</v>
      </c>
      <c r="N357" s="983">
        <f t="shared" si="7"/>
        <v>0</v>
      </c>
      <c r="Z357" s="334"/>
      <c r="AA357" s="334"/>
    </row>
    <row r="358" spans="1:27">
      <c r="A358" s="96">
        <v>300982</v>
      </c>
      <c r="B358" s="1286" t="s">
        <v>209</v>
      </c>
      <c r="C358" s="645" t="s">
        <v>1196</v>
      </c>
      <c r="D358" s="1375"/>
      <c r="E358" s="1299">
        <v>3.3010000000000002</v>
      </c>
      <c r="F358" s="1398"/>
      <c r="G358" s="1397"/>
      <c r="H358" s="1396"/>
      <c r="I358" s="1372"/>
      <c r="K358" s="1293">
        <v>1</v>
      </c>
      <c r="L358" s="1294">
        <v>0</v>
      </c>
      <c r="N358" s="983">
        <f t="shared" si="7"/>
        <v>0</v>
      </c>
      <c r="Z358" s="334"/>
      <c r="AA358" s="334"/>
    </row>
    <row r="359" spans="1:27">
      <c r="A359" s="96">
        <v>300983</v>
      </c>
      <c r="B359" s="1286" t="s">
        <v>309</v>
      </c>
      <c r="C359" s="645" t="s">
        <v>1196</v>
      </c>
      <c r="D359" s="1375"/>
      <c r="E359" s="1299">
        <v>1.9650000000000001</v>
      </c>
      <c r="F359" s="1398"/>
      <c r="G359" s="1397"/>
      <c r="H359" s="1396"/>
      <c r="I359" s="1372"/>
      <c r="K359" s="1293">
        <v>1</v>
      </c>
      <c r="L359" s="1294">
        <v>0</v>
      </c>
      <c r="N359" s="983">
        <f t="shared" si="7"/>
        <v>0</v>
      </c>
      <c r="Z359" s="334"/>
      <c r="AA359" s="334"/>
    </row>
    <row r="360" spans="1:27">
      <c r="A360" s="96">
        <v>300989</v>
      </c>
      <c r="B360" s="1286" t="s">
        <v>105</v>
      </c>
      <c r="C360" s="645" t="s">
        <v>1196</v>
      </c>
      <c r="D360" s="1375"/>
      <c r="E360" s="1299">
        <v>2.16</v>
      </c>
      <c r="F360" s="1398"/>
      <c r="G360" s="1397"/>
      <c r="H360" s="1396"/>
      <c r="I360" s="1372"/>
      <c r="K360" s="1293">
        <v>1</v>
      </c>
      <c r="L360" s="1294">
        <v>0</v>
      </c>
      <c r="N360" s="983">
        <f t="shared" si="7"/>
        <v>0</v>
      </c>
      <c r="Z360" s="334"/>
      <c r="AA360" s="334"/>
    </row>
    <row r="361" spans="1:27">
      <c r="A361" s="96">
        <v>300991</v>
      </c>
      <c r="B361" s="1286" t="s">
        <v>210</v>
      </c>
      <c r="C361" s="645" t="s">
        <v>1196</v>
      </c>
      <c r="D361" s="1375"/>
      <c r="E361" s="1299">
        <v>1.9</v>
      </c>
      <c r="F361" s="1398"/>
      <c r="G361" s="1397"/>
      <c r="H361" s="1396"/>
      <c r="I361" s="1372"/>
      <c r="K361" s="1293">
        <v>1</v>
      </c>
      <c r="L361" s="1294">
        <v>0</v>
      </c>
      <c r="N361" s="983">
        <f t="shared" si="7"/>
        <v>0</v>
      </c>
      <c r="Z361" s="334"/>
      <c r="AA361" s="334"/>
    </row>
    <row r="362" spans="1:27">
      <c r="A362" s="96">
        <v>300997</v>
      </c>
      <c r="B362" s="1286" t="s">
        <v>106</v>
      </c>
      <c r="C362" s="645" t="s">
        <v>1196</v>
      </c>
      <c r="D362" s="1375"/>
      <c r="E362" s="1299">
        <v>1.7010000000000001</v>
      </c>
      <c r="F362" s="1398"/>
      <c r="G362" s="1397"/>
      <c r="H362" s="1396"/>
      <c r="I362" s="1372"/>
      <c r="K362" s="1293">
        <v>1</v>
      </c>
      <c r="L362" s="1294">
        <v>0</v>
      </c>
      <c r="N362" s="983">
        <f t="shared" si="7"/>
        <v>0</v>
      </c>
      <c r="Z362" s="334"/>
      <c r="AA362" s="334"/>
    </row>
    <row r="363" spans="1:27">
      <c r="A363" s="96">
        <v>300998</v>
      </c>
      <c r="B363" s="1286" t="s">
        <v>816</v>
      </c>
      <c r="C363" s="645" t="s">
        <v>1196</v>
      </c>
      <c r="D363" s="1375"/>
      <c r="E363" s="1299">
        <v>1.5589999999999999</v>
      </c>
      <c r="F363" s="1398"/>
      <c r="G363" s="1397"/>
      <c r="H363" s="1396"/>
      <c r="I363" s="1372"/>
      <c r="K363" s="1293">
        <v>1</v>
      </c>
      <c r="L363" s="1294">
        <v>0</v>
      </c>
      <c r="N363" s="983">
        <f t="shared" si="7"/>
        <v>0</v>
      </c>
      <c r="Z363" s="334"/>
      <c r="AA363" s="334"/>
    </row>
    <row r="364" spans="1:27">
      <c r="A364" s="96">
        <v>301001</v>
      </c>
      <c r="B364" s="1286" t="s">
        <v>817</v>
      </c>
      <c r="C364" s="645" t="s">
        <v>1195</v>
      </c>
      <c r="D364" s="1375"/>
      <c r="E364" s="1299">
        <v>2.1419999999999999</v>
      </c>
      <c r="F364" s="1398"/>
      <c r="G364" s="1397"/>
      <c r="H364" s="1396"/>
      <c r="I364" s="1372"/>
      <c r="K364" s="1293">
        <v>0</v>
      </c>
      <c r="L364" s="1294">
        <v>0</v>
      </c>
      <c r="N364" s="983">
        <f t="shared" si="7"/>
        <v>1</v>
      </c>
      <c r="Z364" s="334"/>
      <c r="AA364" s="334"/>
    </row>
    <row r="365" spans="1:27">
      <c r="A365" s="96">
        <v>301002</v>
      </c>
      <c r="B365" s="1286" t="s">
        <v>310</v>
      </c>
      <c r="C365" s="645" t="s">
        <v>1196</v>
      </c>
      <c r="D365" s="1375"/>
      <c r="E365" s="1299">
        <v>2.5070000000000001</v>
      </c>
      <c r="F365" s="1398"/>
      <c r="G365" s="1397"/>
      <c r="H365" s="1396"/>
      <c r="I365" s="1372"/>
      <c r="K365" s="1293">
        <v>1</v>
      </c>
      <c r="L365" s="1294">
        <v>0</v>
      </c>
      <c r="N365" s="983">
        <f t="shared" si="7"/>
        <v>0</v>
      </c>
      <c r="Z365" s="334"/>
      <c r="AA365" s="334"/>
    </row>
    <row r="366" spans="1:27">
      <c r="A366" s="96">
        <v>301006</v>
      </c>
      <c r="B366" s="1286" t="s">
        <v>211</v>
      </c>
      <c r="C366" s="645" t="s">
        <v>1196</v>
      </c>
      <c r="D366" s="1375"/>
      <c r="E366" s="1299">
        <v>2.6749999999999998</v>
      </c>
      <c r="F366" s="1398"/>
      <c r="G366" s="1397"/>
      <c r="H366" s="1396"/>
      <c r="I366" s="1372"/>
      <c r="K366" s="1293">
        <v>1</v>
      </c>
      <c r="L366" s="1294">
        <v>0</v>
      </c>
      <c r="N366" s="983">
        <f t="shared" si="7"/>
        <v>0</v>
      </c>
      <c r="Z366" s="334"/>
      <c r="AA366" s="334"/>
    </row>
    <row r="367" spans="1:27">
      <c r="A367" s="96">
        <v>301009</v>
      </c>
      <c r="B367" s="1286" t="s">
        <v>107</v>
      </c>
      <c r="C367" s="645" t="s">
        <v>1196</v>
      </c>
      <c r="D367" s="1375"/>
      <c r="E367" s="1299">
        <v>2.0070000000000001</v>
      </c>
      <c r="F367" s="1398"/>
      <c r="G367" s="1397"/>
      <c r="H367" s="1396"/>
      <c r="I367" s="1372"/>
      <c r="K367" s="1293">
        <v>1</v>
      </c>
      <c r="L367" s="1294">
        <v>0</v>
      </c>
      <c r="N367" s="983">
        <f t="shared" si="7"/>
        <v>0</v>
      </c>
      <c r="Z367" s="334"/>
      <c r="AA367" s="334"/>
    </row>
    <row r="368" spans="1:27">
      <c r="A368" s="96">
        <v>301013</v>
      </c>
      <c r="B368" s="1286" t="s">
        <v>212</v>
      </c>
      <c r="C368" s="645" t="s">
        <v>1196</v>
      </c>
      <c r="D368" s="1375"/>
      <c r="E368" s="1299">
        <v>2.016</v>
      </c>
      <c r="F368" s="1398"/>
      <c r="G368" s="1397"/>
      <c r="H368" s="1396"/>
      <c r="I368" s="1372"/>
      <c r="K368" s="1293">
        <v>1</v>
      </c>
      <c r="L368" s="1294">
        <v>0</v>
      </c>
      <c r="N368" s="983">
        <f t="shared" si="7"/>
        <v>0</v>
      </c>
      <c r="Z368" s="334"/>
      <c r="AA368" s="334"/>
    </row>
    <row r="369" spans="1:27">
      <c r="A369" s="96">
        <v>301014</v>
      </c>
      <c r="B369" s="1286" t="s">
        <v>213</v>
      </c>
      <c r="C369" s="645" t="s">
        <v>1196</v>
      </c>
      <c r="D369" s="1375"/>
      <c r="E369" s="1299">
        <v>2.6749999999999998</v>
      </c>
      <c r="F369" s="1398"/>
      <c r="G369" s="1397"/>
      <c r="H369" s="1396"/>
      <c r="I369" s="1372"/>
      <c r="K369" s="1293">
        <v>1</v>
      </c>
      <c r="L369" s="1294">
        <v>0</v>
      </c>
      <c r="N369" s="983">
        <f t="shared" si="7"/>
        <v>0</v>
      </c>
      <c r="Z369" s="334"/>
      <c r="AA369" s="334"/>
    </row>
    <row r="370" spans="1:27">
      <c r="A370" s="96">
        <v>301015</v>
      </c>
      <c r="B370" s="1286" t="s">
        <v>214</v>
      </c>
      <c r="C370" s="645" t="s">
        <v>1196</v>
      </c>
      <c r="D370" s="1375"/>
      <c r="E370" s="1299">
        <v>1.7010000000000001</v>
      </c>
      <c r="F370" s="1398"/>
      <c r="G370" s="1397"/>
      <c r="H370" s="1396"/>
      <c r="I370" s="1372"/>
      <c r="K370" s="1293">
        <v>1</v>
      </c>
      <c r="L370" s="1294">
        <v>0</v>
      </c>
      <c r="N370" s="983">
        <f t="shared" si="7"/>
        <v>0</v>
      </c>
      <c r="Z370" s="334"/>
      <c r="AA370" s="334"/>
    </row>
    <row r="371" spans="1:27">
      <c r="A371" s="96">
        <v>301016</v>
      </c>
      <c r="B371" s="1286" t="s">
        <v>311</v>
      </c>
      <c r="C371" s="645" t="s">
        <v>1196</v>
      </c>
      <c r="D371" s="1375"/>
      <c r="E371" s="1299">
        <v>2</v>
      </c>
      <c r="F371" s="1398"/>
      <c r="G371" s="1397"/>
      <c r="H371" s="1396"/>
      <c r="I371" s="1372"/>
      <c r="K371" s="1293">
        <v>1</v>
      </c>
      <c r="L371" s="1294">
        <v>0</v>
      </c>
      <c r="N371" s="983">
        <f t="shared" si="7"/>
        <v>0</v>
      </c>
      <c r="Z371" s="334"/>
      <c r="AA371" s="334"/>
    </row>
    <row r="372" spans="1:27">
      <c r="A372" s="96">
        <v>301017</v>
      </c>
      <c r="B372" s="1286" t="s">
        <v>312</v>
      </c>
      <c r="C372" s="645" t="s">
        <v>1196</v>
      </c>
      <c r="D372" s="1375"/>
      <c r="E372" s="1299">
        <v>2</v>
      </c>
      <c r="F372" s="1398"/>
      <c r="G372" s="1397"/>
      <c r="H372" s="1396"/>
      <c r="I372" s="1372"/>
      <c r="K372" s="1293">
        <v>1</v>
      </c>
      <c r="L372" s="1294">
        <v>0</v>
      </c>
      <c r="N372" s="983">
        <f t="shared" si="7"/>
        <v>0</v>
      </c>
      <c r="Z372" s="334"/>
      <c r="AA372" s="334"/>
    </row>
    <row r="373" spans="1:27">
      <c r="A373" s="96">
        <v>301021</v>
      </c>
      <c r="B373" s="1286" t="s">
        <v>215</v>
      </c>
      <c r="C373" s="645" t="s">
        <v>1196</v>
      </c>
      <c r="D373" s="1375"/>
      <c r="E373" s="1299">
        <v>2</v>
      </c>
      <c r="F373" s="1398"/>
      <c r="G373" s="1397"/>
      <c r="H373" s="1396"/>
      <c r="I373" s="1372"/>
      <c r="K373" s="1293">
        <v>1</v>
      </c>
      <c r="L373" s="1294">
        <v>0</v>
      </c>
      <c r="N373" s="983">
        <f t="shared" si="7"/>
        <v>0</v>
      </c>
      <c r="Z373" s="334"/>
      <c r="AA373" s="334"/>
    </row>
    <row r="374" spans="1:27">
      <c r="A374" s="96">
        <v>301022</v>
      </c>
      <c r="B374" s="1286" t="s">
        <v>108</v>
      </c>
      <c r="C374" s="645" t="s">
        <v>1196</v>
      </c>
      <c r="D374" s="1375"/>
      <c r="E374" s="1299">
        <v>2.016</v>
      </c>
      <c r="F374" s="1398"/>
      <c r="G374" s="1397"/>
      <c r="H374" s="1396"/>
      <c r="I374" s="1372"/>
      <c r="K374" s="1293">
        <v>1</v>
      </c>
      <c r="L374" s="1294">
        <v>0</v>
      </c>
      <c r="N374" s="983">
        <f t="shared" si="7"/>
        <v>0</v>
      </c>
      <c r="Z374" s="334"/>
      <c r="AA374" s="334"/>
    </row>
    <row r="375" spans="1:27">
      <c r="A375" s="96">
        <v>301024</v>
      </c>
      <c r="B375" s="1286" t="s">
        <v>216</v>
      </c>
      <c r="C375" s="645" t="s">
        <v>1196</v>
      </c>
      <c r="D375" s="1375"/>
      <c r="E375" s="1299">
        <v>2.8069999999999999</v>
      </c>
      <c r="F375" s="1398"/>
      <c r="G375" s="1397"/>
      <c r="H375" s="1396"/>
      <c r="I375" s="1372"/>
      <c r="K375" s="1293">
        <v>1</v>
      </c>
      <c r="L375" s="1294">
        <v>0</v>
      </c>
      <c r="N375" s="983">
        <f t="shared" si="7"/>
        <v>0</v>
      </c>
      <c r="Z375" s="334"/>
      <c r="AA375" s="334"/>
    </row>
    <row r="376" spans="1:27">
      <c r="A376" s="96">
        <v>301025</v>
      </c>
      <c r="B376" s="1286" t="s">
        <v>217</v>
      </c>
      <c r="C376" s="645" t="s">
        <v>1196</v>
      </c>
      <c r="D376" s="1375"/>
      <c r="E376" s="1299">
        <v>2.6749999999999998</v>
      </c>
      <c r="F376" s="1398"/>
      <c r="G376" s="1397"/>
      <c r="H376" s="1396"/>
      <c r="I376" s="1372"/>
      <c r="K376" s="1293">
        <v>1</v>
      </c>
      <c r="L376" s="1294">
        <v>0</v>
      </c>
      <c r="N376" s="983">
        <f t="shared" si="7"/>
        <v>0</v>
      </c>
      <c r="Z376" s="334"/>
      <c r="AA376" s="334"/>
    </row>
    <row r="377" spans="1:27">
      <c r="A377" s="96">
        <v>301027</v>
      </c>
      <c r="B377" s="1286" t="s">
        <v>818</v>
      </c>
      <c r="C377" s="645" t="s">
        <v>1196</v>
      </c>
      <c r="D377" s="1375"/>
      <c r="E377" s="1299">
        <v>2.6749999999999998</v>
      </c>
      <c r="F377" s="1398"/>
      <c r="G377" s="1397"/>
      <c r="H377" s="1396"/>
      <c r="I377" s="1372"/>
      <c r="K377" s="1293">
        <v>1</v>
      </c>
      <c r="L377" s="1294">
        <v>0</v>
      </c>
      <c r="N377" s="983">
        <f t="shared" si="7"/>
        <v>0</v>
      </c>
      <c r="Z377" s="334"/>
      <c r="AA377" s="334"/>
    </row>
    <row r="378" spans="1:27">
      <c r="A378" s="96">
        <v>301028</v>
      </c>
      <c r="B378" s="1286" t="s">
        <v>218</v>
      </c>
      <c r="C378" s="645" t="s">
        <v>1196</v>
      </c>
      <c r="D378" s="1375"/>
      <c r="E378" s="1299">
        <v>1.9650000000000001</v>
      </c>
      <c r="F378" s="1398"/>
      <c r="G378" s="1397"/>
      <c r="H378" s="1396"/>
      <c r="I378" s="1372"/>
      <c r="K378" s="1293">
        <v>1</v>
      </c>
      <c r="L378" s="1294">
        <v>0</v>
      </c>
      <c r="N378" s="983">
        <f t="shared" si="7"/>
        <v>0</v>
      </c>
      <c r="Z378" s="334"/>
      <c r="AA378" s="334"/>
    </row>
    <row r="379" spans="1:27">
      <c r="A379" s="96">
        <v>301029</v>
      </c>
      <c r="B379" s="1286" t="s">
        <v>219</v>
      </c>
      <c r="C379" s="645" t="s">
        <v>1196</v>
      </c>
      <c r="D379" s="1375"/>
      <c r="E379" s="1299">
        <v>1.9650000000000001</v>
      </c>
      <c r="F379" s="1398"/>
      <c r="G379" s="1397"/>
      <c r="H379" s="1396"/>
      <c r="I379" s="1372"/>
      <c r="K379" s="1293">
        <v>1</v>
      </c>
      <c r="L379" s="1294">
        <v>0</v>
      </c>
      <c r="N379" s="983">
        <f t="shared" si="7"/>
        <v>0</v>
      </c>
      <c r="Z379" s="334"/>
      <c r="AA379" s="334"/>
    </row>
    <row r="380" spans="1:27">
      <c r="A380" s="96">
        <v>301031</v>
      </c>
      <c r="B380" s="1286" t="s">
        <v>220</v>
      </c>
      <c r="C380" s="645" t="s">
        <v>1196</v>
      </c>
      <c r="D380" s="1375"/>
      <c r="E380" s="1299">
        <v>2.3889999999999998</v>
      </c>
      <c r="F380" s="1398"/>
      <c r="G380" s="1397"/>
      <c r="H380" s="1396"/>
      <c r="I380" s="1372"/>
      <c r="K380" s="1293">
        <v>1</v>
      </c>
      <c r="L380" s="1294">
        <v>0</v>
      </c>
      <c r="N380" s="983">
        <f t="shared" si="7"/>
        <v>0</v>
      </c>
      <c r="Z380" s="334"/>
      <c r="AA380" s="334"/>
    </row>
    <row r="381" spans="1:27">
      <c r="A381" s="96">
        <v>301033</v>
      </c>
      <c r="B381" s="1286" t="s">
        <v>221</v>
      </c>
      <c r="C381" s="645" t="s">
        <v>1196</v>
      </c>
      <c r="D381" s="1375"/>
      <c r="E381" s="1299">
        <v>1.718</v>
      </c>
      <c r="F381" s="1398"/>
      <c r="G381" s="1397"/>
      <c r="H381" s="1396"/>
      <c r="I381" s="1372"/>
      <c r="K381" s="1293">
        <v>1</v>
      </c>
      <c r="L381" s="1294">
        <v>0</v>
      </c>
      <c r="N381" s="983">
        <f t="shared" si="7"/>
        <v>0</v>
      </c>
      <c r="Z381" s="334"/>
      <c r="AA381" s="334"/>
    </row>
    <row r="382" spans="1:27">
      <c r="A382" s="96">
        <v>301034</v>
      </c>
      <c r="B382" s="1286" t="s">
        <v>222</v>
      </c>
      <c r="C382" s="645" t="s">
        <v>1196</v>
      </c>
      <c r="D382" s="1375"/>
      <c r="E382" s="1299">
        <v>2.8069999999999999</v>
      </c>
      <c r="F382" s="1398"/>
      <c r="G382" s="1397"/>
      <c r="H382" s="1396"/>
      <c r="I382" s="1372"/>
      <c r="K382" s="1293">
        <v>1</v>
      </c>
      <c r="L382" s="1294">
        <v>0</v>
      </c>
      <c r="N382" s="983">
        <f t="shared" si="7"/>
        <v>0</v>
      </c>
      <c r="Z382" s="334"/>
      <c r="AA382" s="334"/>
    </row>
    <row r="383" spans="1:27">
      <c r="A383" s="96">
        <v>301037</v>
      </c>
      <c r="B383" s="1286" t="s">
        <v>313</v>
      </c>
      <c r="C383" s="645" t="s">
        <v>1195</v>
      </c>
      <c r="D383" s="1375"/>
      <c r="E383" s="1299">
        <v>3.72</v>
      </c>
      <c r="F383" s="1398"/>
      <c r="G383" s="1397"/>
      <c r="H383" s="1396"/>
      <c r="I383" s="1372"/>
      <c r="K383" s="1293">
        <v>0</v>
      </c>
      <c r="L383" s="1294">
        <v>0</v>
      </c>
      <c r="N383" s="983">
        <f t="shared" si="7"/>
        <v>1</v>
      </c>
      <c r="Z383" s="334"/>
      <c r="AA383" s="334"/>
    </row>
    <row r="384" spans="1:27">
      <c r="A384" s="96">
        <v>301038</v>
      </c>
      <c r="B384" s="1286" t="s">
        <v>819</v>
      </c>
      <c r="C384" s="645" t="s">
        <v>1196</v>
      </c>
      <c r="D384" s="1375"/>
      <c r="E384" s="1299">
        <v>2.0950000000000002</v>
      </c>
      <c r="F384" s="1398"/>
      <c r="G384" s="1397"/>
      <c r="H384" s="1396"/>
      <c r="I384" s="1372"/>
      <c r="K384" s="1293">
        <v>1</v>
      </c>
      <c r="L384" s="1294">
        <v>0</v>
      </c>
      <c r="N384" s="983">
        <f t="shared" si="7"/>
        <v>0</v>
      </c>
      <c r="Z384" s="334"/>
      <c r="AA384" s="334"/>
    </row>
    <row r="385" spans="1:27">
      <c r="A385" s="96">
        <v>301039</v>
      </c>
      <c r="B385" s="1286" t="s">
        <v>223</v>
      </c>
      <c r="C385" s="645" t="s">
        <v>1196</v>
      </c>
      <c r="D385" s="1375"/>
      <c r="E385" s="1299">
        <v>1.9650000000000001</v>
      </c>
      <c r="F385" s="1398"/>
      <c r="G385" s="1397"/>
      <c r="H385" s="1396"/>
      <c r="I385" s="1372"/>
      <c r="K385" s="1293">
        <v>1</v>
      </c>
      <c r="L385" s="1294">
        <v>0</v>
      </c>
      <c r="N385" s="983">
        <f t="shared" si="7"/>
        <v>0</v>
      </c>
      <c r="Z385" s="334"/>
      <c r="AA385" s="334"/>
    </row>
    <row r="386" spans="1:27">
      <c r="A386" s="96">
        <v>301040</v>
      </c>
      <c r="B386" s="1286" t="s">
        <v>224</v>
      </c>
      <c r="C386" s="645" t="s">
        <v>1196</v>
      </c>
      <c r="D386" s="1375"/>
      <c r="E386" s="1299">
        <v>1.9650000000000001</v>
      </c>
      <c r="F386" s="1398"/>
      <c r="G386" s="1397"/>
      <c r="H386" s="1396"/>
      <c r="I386" s="1372"/>
      <c r="K386" s="1293">
        <v>1</v>
      </c>
      <c r="L386" s="1294">
        <v>0</v>
      </c>
      <c r="N386" s="983">
        <f t="shared" si="7"/>
        <v>0</v>
      </c>
      <c r="Z386" s="334"/>
      <c r="AA386" s="334"/>
    </row>
    <row r="387" spans="1:27">
      <c r="A387" s="96">
        <v>301042</v>
      </c>
      <c r="B387" s="1286" t="s">
        <v>820</v>
      </c>
      <c r="C387" s="645" t="s">
        <v>1196</v>
      </c>
      <c r="D387" s="1375"/>
      <c r="E387" s="1299">
        <v>3.2</v>
      </c>
      <c r="F387" s="1398"/>
      <c r="G387" s="1397"/>
      <c r="H387" s="1396"/>
      <c r="I387" s="1372"/>
      <c r="K387" s="1293">
        <v>1</v>
      </c>
      <c r="L387" s="1294">
        <v>0</v>
      </c>
      <c r="N387" s="983">
        <f t="shared" si="7"/>
        <v>0</v>
      </c>
      <c r="Z387" s="334"/>
      <c r="AA387" s="334"/>
    </row>
    <row r="388" spans="1:27">
      <c r="A388" s="96">
        <v>301043</v>
      </c>
      <c r="B388" s="1286" t="s">
        <v>428</v>
      </c>
      <c r="C388" s="645" t="s">
        <v>1196</v>
      </c>
      <c r="D388" s="1375"/>
      <c r="E388" s="1299">
        <v>2.0840000000000001</v>
      </c>
      <c r="F388" s="1398"/>
      <c r="G388" s="1397"/>
      <c r="H388" s="1396"/>
      <c r="I388" s="1372"/>
      <c r="K388" s="1293">
        <v>1</v>
      </c>
      <c r="L388" s="1294">
        <v>0</v>
      </c>
      <c r="N388" s="983">
        <f t="shared" si="7"/>
        <v>0</v>
      </c>
      <c r="Z388" s="334"/>
      <c r="AA388" s="334"/>
    </row>
    <row r="389" spans="1:27">
      <c r="A389" s="96">
        <v>301045</v>
      </c>
      <c r="B389" s="1286" t="s">
        <v>821</v>
      </c>
      <c r="C389" s="645" t="s">
        <v>1196</v>
      </c>
      <c r="D389" s="1375"/>
      <c r="E389" s="1299">
        <v>2.3479999999999999</v>
      </c>
      <c r="F389" s="1398"/>
      <c r="G389" s="1397"/>
      <c r="H389" s="1396"/>
      <c r="I389" s="1372"/>
      <c r="K389" s="1293">
        <v>1</v>
      </c>
      <c r="L389" s="1294">
        <v>0</v>
      </c>
      <c r="N389" s="983">
        <f t="shared" si="7"/>
        <v>0</v>
      </c>
      <c r="Z389" s="334"/>
      <c r="AA389" s="334"/>
    </row>
    <row r="390" spans="1:27">
      <c r="A390" s="96">
        <v>301046</v>
      </c>
      <c r="B390" s="1286" t="s">
        <v>314</v>
      </c>
      <c r="C390" s="645" t="s">
        <v>1195</v>
      </c>
      <c r="D390" s="1375"/>
      <c r="E390" s="1299">
        <v>3.6070000000000002</v>
      </c>
      <c r="F390" s="1398"/>
      <c r="G390" s="1397"/>
      <c r="H390" s="1396"/>
      <c r="I390" s="1372"/>
      <c r="K390" s="1293">
        <v>0</v>
      </c>
      <c r="L390" s="1294">
        <v>0</v>
      </c>
      <c r="N390" s="983">
        <f t="shared" si="7"/>
        <v>1</v>
      </c>
      <c r="Z390" s="334"/>
      <c r="AA390" s="334"/>
    </row>
    <row r="391" spans="1:27">
      <c r="A391" s="96">
        <v>301049</v>
      </c>
      <c r="B391" s="1286" t="s">
        <v>315</v>
      </c>
      <c r="C391" s="645" t="s">
        <v>1195</v>
      </c>
      <c r="D391" s="1375"/>
      <c r="E391" s="1299">
        <v>3.6070000000000002</v>
      </c>
      <c r="F391" s="1398"/>
      <c r="G391" s="1397"/>
      <c r="H391" s="1396"/>
      <c r="I391" s="1372"/>
      <c r="K391" s="1293">
        <v>0</v>
      </c>
      <c r="L391" s="1294">
        <v>0</v>
      </c>
      <c r="N391" s="983">
        <f t="shared" si="7"/>
        <v>1</v>
      </c>
      <c r="Z391" s="334"/>
      <c r="AA391" s="334"/>
    </row>
    <row r="392" spans="1:27">
      <c r="A392" s="96">
        <v>301050</v>
      </c>
      <c r="B392" s="1286" t="s">
        <v>225</v>
      </c>
      <c r="C392" s="645" t="s">
        <v>1196</v>
      </c>
      <c r="D392" s="1375"/>
      <c r="E392" s="1299">
        <v>3.2</v>
      </c>
      <c r="F392" s="1398"/>
      <c r="G392" s="1397"/>
      <c r="H392" s="1396"/>
      <c r="I392" s="1372"/>
      <c r="K392" s="1293">
        <v>1</v>
      </c>
      <c r="L392" s="1294">
        <v>0</v>
      </c>
      <c r="N392" s="983">
        <f t="shared" si="7"/>
        <v>0</v>
      </c>
      <c r="Z392" s="334"/>
      <c r="AA392" s="334"/>
    </row>
    <row r="393" spans="1:27">
      <c r="A393" s="96">
        <v>301051</v>
      </c>
      <c r="B393" s="1286" t="s">
        <v>226</v>
      </c>
      <c r="C393" s="645" t="s">
        <v>1196</v>
      </c>
      <c r="D393" s="1375"/>
      <c r="E393" s="1299">
        <v>3.3010000000000002</v>
      </c>
      <c r="F393" s="1398"/>
      <c r="G393" s="1397"/>
      <c r="H393" s="1396"/>
      <c r="I393" s="1372"/>
      <c r="K393" s="1293">
        <v>1</v>
      </c>
      <c r="L393" s="1294">
        <v>0</v>
      </c>
      <c r="N393" s="983">
        <f t="shared" si="7"/>
        <v>0</v>
      </c>
      <c r="Z393" s="334"/>
      <c r="AA393" s="334"/>
    </row>
    <row r="394" spans="1:27">
      <c r="A394" s="96">
        <v>301052</v>
      </c>
      <c r="B394" s="1286" t="s">
        <v>316</v>
      </c>
      <c r="C394" s="645" t="s">
        <v>1195</v>
      </c>
      <c r="D394" s="1375"/>
      <c r="E394" s="1299">
        <v>3.4769999999999999</v>
      </c>
      <c r="F394" s="1398"/>
      <c r="G394" s="1397"/>
      <c r="H394" s="1396"/>
      <c r="I394" s="1372"/>
      <c r="K394" s="1293">
        <v>0</v>
      </c>
      <c r="L394" s="1294">
        <v>0</v>
      </c>
      <c r="N394" s="983">
        <f t="shared" ref="N394:N457" si="8">IF(C394="local distribution point",1,0)</f>
        <v>1</v>
      </c>
      <c r="Z394" s="334"/>
      <c r="AA394" s="334"/>
    </row>
    <row r="395" spans="1:27">
      <c r="A395" s="96">
        <v>301054</v>
      </c>
      <c r="B395" s="1286" t="s">
        <v>317</v>
      </c>
      <c r="C395" s="645" t="s">
        <v>1195</v>
      </c>
      <c r="D395" s="1375"/>
      <c r="E395" s="1299">
        <v>3.6070000000000002</v>
      </c>
      <c r="F395" s="1398"/>
      <c r="G395" s="1397"/>
      <c r="H395" s="1396"/>
      <c r="I395" s="1372"/>
      <c r="K395" s="1293">
        <v>0</v>
      </c>
      <c r="L395" s="1294">
        <v>0</v>
      </c>
      <c r="N395" s="983">
        <f t="shared" si="8"/>
        <v>1</v>
      </c>
      <c r="Z395" s="334"/>
      <c r="AA395" s="334"/>
    </row>
    <row r="396" spans="1:27">
      <c r="A396" s="96">
        <v>301056</v>
      </c>
      <c r="B396" s="1286" t="s">
        <v>227</v>
      </c>
      <c r="C396" s="645" t="s">
        <v>1195</v>
      </c>
      <c r="D396" s="1375"/>
      <c r="E396" s="1299">
        <v>2.3130000000000002</v>
      </c>
      <c r="F396" s="1398"/>
      <c r="G396" s="1397"/>
      <c r="H396" s="1396"/>
      <c r="I396" s="1372"/>
      <c r="K396" s="1293">
        <v>0</v>
      </c>
      <c r="L396" s="1294">
        <v>0</v>
      </c>
      <c r="N396" s="983">
        <f t="shared" si="8"/>
        <v>1</v>
      </c>
      <c r="Z396" s="334"/>
      <c r="AA396" s="334"/>
    </row>
    <row r="397" spans="1:27">
      <c r="A397" s="96">
        <v>301059</v>
      </c>
      <c r="B397" s="1286" t="s">
        <v>228</v>
      </c>
      <c r="C397" s="645" t="s">
        <v>1195</v>
      </c>
      <c r="D397" s="1375"/>
      <c r="E397" s="1299">
        <v>2.3479999999999999</v>
      </c>
      <c r="F397" s="1398"/>
      <c r="G397" s="1397"/>
      <c r="H397" s="1396"/>
      <c r="I397" s="1372"/>
      <c r="K397" s="1293">
        <v>0</v>
      </c>
      <c r="L397" s="1294">
        <v>0</v>
      </c>
      <c r="N397" s="983">
        <f t="shared" si="8"/>
        <v>1</v>
      </c>
      <c r="Z397" s="334"/>
      <c r="AA397" s="334"/>
    </row>
    <row r="398" spans="1:27">
      <c r="A398" s="96">
        <v>301060</v>
      </c>
      <c r="B398" s="1286" t="s">
        <v>822</v>
      </c>
      <c r="C398" s="645" t="s">
        <v>1196</v>
      </c>
      <c r="D398" s="1375"/>
      <c r="E398" s="1299">
        <v>2.3479999999999999</v>
      </c>
      <c r="F398" s="1398"/>
      <c r="G398" s="1397"/>
      <c r="H398" s="1396"/>
      <c r="I398" s="1372"/>
      <c r="K398" s="1293">
        <v>1</v>
      </c>
      <c r="L398" s="1294">
        <v>0</v>
      </c>
      <c r="N398" s="983">
        <f t="shared" si="8"/>
        <v>0</v>
      </c>
      <c r="Z398" s="334"/>
      <c r="AA398" s="334"/>
    </row>
    <row r="399" spans="1:27">
      <c r="A399" s="96">
        <v>301063</v>
      </c>
      <c r="B399" s="1286" t="s">
        <v>229</v>
      </c>
      <c r="C399" s="645" t="s">
        <v>1196</v>
      </c>
      <c r="D399" s="1375"/>
      <c r="E399" s="1299">
        <v>1.8049999999999999</v>
      </c>
      <c r="F399" s="1398"/>
      <c r="G399" s="1397"/>
      <c r="H399" s="1396"/>
      <c r="I399" s="1372"/>
      <c r="K399" s="1293">
        <v>1</v>
      </c>
      <c r="L399" s="1294">
        <v>0</v>
      </c>
      <c r="N399" s="983">
        <f t="shared" si="8"/>
        <v>0</v>
      </c>
      <c r="Z399" s="334"/>
      <c r="AA399" s="334"/>
    </row>
    <row r="400" spans="1:27">
      <c r="A400" s="96">
        <v>301064</v>
      </c>
      <c r="B400" s="1286" t="s">
        <v>230</v>
      </c>
      <c r="C400" s="645" t="s">
        <v>1196</v>
      </c>
      <c r="D400" s="1375"/>
      <c r="E400" s="1299">
        <v>2.4249999999999998</v>
      </c>
      <c r="F400" s="1398"/>
      <c r="G400" s="1397"/>
      <c r="H400" s="1396"/>
      <c r="I400" s="1372"/>
      <c r="K400" s="1293">
        <v>1</v>
      </c>
      <c r="L400" s="1294">
        <v>0</v>
      </c>
      <c r="N400" s="983">
        <f t="shared" si="8"/>
        <v>0</v>
      </c>
      <c r="Z400" s="334"/>
      <c r="AA400" s="334"/>
    </row>
    <row r="401" spans="1:27">
      <c r="A401" s="96">
        <v>301065</v>
      </c>
      <c r="B401" s="1286" t="s">
        <v>823</v>
      </c>
      <c r="C401" s="645" t="s">
        <v>1196</v>
      </c>
      <c r="D401" s="1375"/>
      <c r="E401" s="1299">
        <v>2.3479999999999999</v>
      </c>
      <c r="F401" s="1398"/>
      <c r="G401" s="1397"/>
      <c r="H401" s="1396"/>
      <c r="I401" s="1372"/>
      <c r="K401" s="1293">
        <v>1</v>
      </c>
      <c r="L401" s="1294">
        <v>0</v>
      </c>
      <c r="N401" s="983">
        <f t="shared" si="8"/>
        <v>0</v>
      </c>
      <c r="Z401" s="334"/>
      <c r="AA401" s="334"/>
    </row>
    <row r="402" spans="1:27">
      <c r="A402" s="96">
        <v>301080</v>
      </c>
      <c r="B402" s="1286" t="s">
        <v>433</v>
      </c>
      <c r="C402" s="645" t="s">
        <v>570</v>
      </c>
      <c r="D402" s="1375"/>
      <c r="E402" s="1299">
        <v>0.34699999999999998</v>
      </c>
      <c r="F402" s="1398"/>
      <c r="G402" s="1397"/>
      <c r="H402" s="1396"/>
      <c r="I402" s="1372"/>
      <c r="K402" s="1293">
        <v>0</v>
      </c>
      <c r="L402" s="1294">
        <v>0</v>
      </c>
      <c r="N402" s="983">
        <f t="shared" si="8"/>
        <v>0</v>
      </c>
      <c r="Z402" s="334"/>
      <c r="AA402" s="334"/>
    </row>
    <row r="403" spans="1:27">
      <c r="A403" s="96">
        <v>301097</v>
      </c>
      <c r="B403" s="1286" t="s">
        <v>440</v>
      </c>
      <c r="C403" s="645" t="s">
        <v>570</v>
      </c>
      <c r="D403" s="1375"/>
      <c r="E403" s="1299"/>
      <c r="F403" s="1398"/>
      <c r="G403" s="1397"/>
      <c r="H403" s="1396"/>
      <c r="I403" s="1372"/>
      <c r="K403" s="1293">
        <v>0</v>
      </c>
      <c r="L403" s="1294">
        <v>0</v>
      </c>
      <c r="N403" s="983">
        <f t="shared" si="8"/>
        <v>0</v>
      </c>
      <c r="Z403" s="334"/>
      <c r="AA403" s="334"/>
    </row>
    <row r="404" spans="1:27">
      <c r="A404" s="96">
        <v>301111</v>
      </c>
      <c r="B404" s="1286" t="s">
        <v>45</v>
      </c>
      <c r="C404" s="645" t="s">
        <v>568</v>
      </c>
      <c r="D404" s="1375"/>
      <c r="E404" s="1299">
        <v>2.21</v>
      </c>
      <c r="F404" s="1398"/>
      <c r="G404" s="1397"/>
      <c r="H404" s="1396"/>
      <c r="I404" s="1372"/>
      <c r="K404" s="1293">
        <v>0</v>
      </c>
      <c r="L404" s="1294">
        <v>0</v>
      </c>
      <c r="N404" s="983">
        <f t="shared" si="8"/>
        <v>0</v>
      </c>
      <c r="Z404" s="334"/>
      <c r="AA404" s="334"/>
    </row>
    <row r="405" spans="1:27">
      <c r="A405" s="96">
        <v>301113</v>
      </c>
      <c r="B405" s="1286" t="s">
        <v>445</v>
      </c>
      <c r="C405" s="645" t="s">
        <v>568</v>
      </c>
      <c r="D405" s="1375"/>
      <c r="E405" s="1299">
        <v>0.89600000000000002</v>
      </c>
      <c r="F405" s="1398"/>
      <c r="G405" s="1397"/>
      <c r="H405" s="1396"/>
      <c r="I405" s="1372"/>
      <c r="K405" s="1293">
        <v>0</v>
      </c>
      <c r="L405" s="1294">
        <v>0</v>
      </c>
      <c r="N405" s="983">
        <f t="shared" si="8"/>
        <v>0</v>
      </c>
      <c r="Z405" s="334"/>
      <c r="AA405" s="334"/>
    </row>
    <row r="406" spans="1:27">
      <c r="A406" s="96">
        <v>301114</v>
      </c>
      <c r="B406" s="1286" t="s">
        <v>318</v>
      </c>
      <c r="C406" s="645" t="s">
        <v>569</v>
      </c>
      <c r="D406" s="1375"/>
      <c r="E406" s="1299">
        <v>0.83899999999999997</v>
      </c>
      <c r="F406" s="1398"/>
      <c r="G406" s="1397"/>
      <c r="H406" s="1396"/>
      <c r="I406" s="1372"/>
      <c r="K406" s="1293">
        <v>0</v>
      </c>
      <c r="L406" s="1294">
        <v>0</v>
      </c>
      <c r="N406" s="983">
        <f t="shared" si="8"/>
        <v>0</v>
      </c>
      <c r="Z406" s="334"/>
      <c r="AA406" s="334"/>
    </row>
    <row r="407" spans="1:27">
      <c r="A407" s="96">
        <v>301116</v>
      </c>
      <c r="B407" s="1286" t="s">
        <v>319</v>
      </c>
      <c r="C407" s="645" t="s">
        <v>569</v>
      </c>
      <c r="D407" s="1375"/>
      <c r="E407" s="1299">
        <v>0.66100000000000003</v>
      </c>
      <c r="F407" s="1398"/>
      <c r="G407" s="1397"/>
      <c r="H407" s="1396"/>
      <c r="I407" s="1372"/>
      <c r="K407" s="1293">
        <v>0</v>
      </c>
      <c r="L407" s="1294">
        <v>0</v>
      </c>
      <c r="N407" s="983">
        <f t="shared" si="8"/>
        <v>0</v>
      </c>
      <c r="Z407" s="334"/>
      <c r="AA407" s="334"/>
    </row>
    <row r="408" spans="1:27">
      <c r="A408" s="96">
        <v>301118</v>
      </c>
      <c r="B408" s="1286" t="s">
        <v>231</v>
      </c>
      <c r="C408" s="645" t="s">
        <v>569</v>
      </c>
      <c r="D408" s="1375"/>
      <c r="E408" s="1299">
        <v>0.97899999999999998</v>
      </c>
      <c r="F408" s="1398"/>
      <c r="G408" s="1397"/>
      <c r="H408" s="1396"/>
      <c r="I408" s="1372"/>
      <c r="K408" s="1293">
        <v>0</v>
      </c>
      <c r="L408" s="1294">
        <v>0</v>
      </c>
      <c r="N408" s="983">
        <f t="shared" si="8"/>
        <v>0</v>
      </c>
      <c r="Z408" s="334"/>
      <c r="AA408" s="334"/>
    </row>
    <row r="409" spans="1:27">
      <c r="A409" s="96">
        <v>301120</v>
      </c>
      <c r="B409" s="1286" t="s">
        <v>46</v>
      </c>
      <c r="C409" s="645" t="s">
        <v>1196</v>
      </c>
      <c r="D409" s="1375"/>
      <c r="E409" s="1299">
        <v>1.3</v>
      </c>
      <c r="F409" s="1398"/>
      <c r="G409" s="1397"/>
      <c r="H409" s="1396"/>
      <c r="I409" s="1372"/>
      <c r="K409" s="1293">
        <v>1</v>
      </c>
      <c r="L409" s="1294">
        <v>0</v>
      </c>
      <c r="N409" s="983">
        <f t="shared" si="8"/>
        <v>0</v>
      </c>
      <c r="Z409" s="334"/>
      <c r="AA409" s="334"/>
    </row>
    <row r="410" spans="1:27">
      <c r="A410" s="96">
        <v>301122</v>
      </c>
      <c r="B410" s="1286" t="s">
        <v>320</v>
      </c>
      <c r="C410" s="645" t="s">
        <v>1196</v>
      </c>
      <c r="D410" s="1375"/>
      <c r="E410" s="1299">
        <v>0.96499999999999997</v>
      </c>
      <c r="F410" s="1398"/>
      <c r="G410" s="1397"/>
      <c r="H410" s="1396"/>
      <c r="I410" s="1372"/>
      <c r="K410" s="1293">
        <v>1</v>
      </c>
      <c r="L410" s="1294">
        <v>0</v>
      </c>
      <c r="N410" s="983">
        <f t="shared" si="8"/>
        <v>0</v>
      </c>
      <c r="Z410" s="334"/>
      <c r="AA410" s="334"/>
    </row>
    <row r="411" spans="1:27">
      <c r="A411" s="96">
        <v>301129</v>
      </c>
      <c r="B411" s="1286" t="s">
        <v>321</v>
      </c>
      <c r="C411" s="645" t="s">
        <v>1195</v>
      </c>
      <c r="D411" s="1375"/>
      <c r="E411" s="1299">
        <v>3.53</v>
      </c>
      <c r="F411" s="1398"/>
      <c r="G411" s="1397"/>
      <c r="H411" s="1396"/>
      <c r="I411" s="1372"/>
      <c r="K411" s="1293">
        <v>0</v>
      </c>
      <c r="L411" s="1294">
        <v>0</v>
      </c>
      <c r="N411" s="983">
        <f t="shared" si="8"/>
        <v>1</v>
      </c>
      <c r="Z411" s="334"/>
      <c r="AA411" s="334"/>
    </row>
    <row r="412" spans="1:27">
      <c r="A412" s="96">
        <v>301144</v>
      </c>
      <c r="B412" s="1286" t="s">
        <v>322</v>
      </c>
      <c r="C412" s="645" t="s">
        <v>1196</v>
      </c>
      <c r="D412" s="1375"/>
      <c r="E412" s="1299">
        <v>3.2109999999999999</v>
      </c>
      <c r="F412" s="1398"/>
      <c r="G412" s="1397"/>
      <c r="H412" s="1396"/>
      <c r="I412" s="1372"/>
      <c r="K412" s="1293">
        <v>1</v>
      </c>
      <c r="L412" s="1294">
        <v>0</v>
      </c>
      <c r="N412" s="983">
        <f t="shared" si="8"/>
        <v>0</v>
      </c>
      <c r="Z412" s="334"/>
      <c r="AA412" s="334"/>
    </row>
    <row r="413" spans="1:27">
      <c r="A413" s="96">
        <v>301148</v>
      </c>
      <c r="B413" s="1286" t="s">
        <v>323</v>
      </c>
      <c r="C413" s="645" t="s">
        <v>1196</v>
      </c>
      <c r="D413" s="1375"/>
      <c r="E413" s="1299">
        <v>1.4339999999999999</v>
      </c>
      <c r="F413" s="1398"/>
      <c r="G413" s="1397"/>
      <c r="H413" s="1396"/>
      <c r="I413" s="1372"/>
      <c r="K413" s="1293">
        <v>1</v>
      </c>
      <c r="L413" s="1294">
        <v>0</v>
      </c>
      <c r="N413" s="983">
        <f t="shared" si="8"/>
        <v>0</v>
      </c>
      <c r="Z413" s="334"/>
      <c r="AA413" s="334"/>
    </row>
    <row r="414" spans="1:27">
      <c r="A414" s="96">
        <v>301152</v>
      </c>
      <c r="B414" s="1286" t="s">
        <v>232</v>
      </c>
      <c r="C414" s="645" t="s">
        <v>1196</v>
      </c>
      <c r="D414" s="1375"/>
      <c r="E414" s="1299">
        <v>1.3009999999999999</v>
      </c>
      <c r="F414" s="1398"/>
      <c r="G414" s="1397"/>
      <c r="H414" s="1396"/>
      <c r="I414" s="1372"/>
      <c r="K414" s="1293">
        <v>1</v>
      </c>
      <c r="L414" s="1294">
        <v>0</v>
      </c>
      <c r="N414" s="983">
        <f t="shared" si="8"/>
        <v>0</v>
      </c>
      <c r="Z414" s="334"/>
      <c r="AA414" s="334"/>
    </row>
    <row r="415" spans="1:27">
      <c r="A415" s="96">
        <v>301153</v>
      </c>
      <c r="B415" s="1286" t="s">
        <v>233</v>
      </c>
      <c r="C415" s="645" t="s">
        <v>1196</v>
      </c>
      <c r="D415" s="1375"/>
      <c r="E415" s="1299">
        <v>1.401</v>
      </c>
      <c r="F415" s="1398"/>
      <c r="G415" s="1397"/>
      <c r="H415" s="1396"/>
      <c r="I415" s="1372"/>
      <c r="K415" s="1293">
        <v>1</v>
      </c>
      <c r="L415" s="1294">
        <v>0</v>
      </c>
      <c r="N415" s="983">
        <f t="shared" si="8"/>
        <v>0</v>
      </c>
      <c r="Z415" s="334"/>
      <c r="AA415" s="334"/>
    </row>
    <row r="416" spans="1:27">
      <c r="A416" s="96">
        <v>301159</v>
      </c>
      <c r="B416" s="1286" t="s">
        <v>234</v>
      </c>
      <c r="C416" s="645" t="s">
        <v>1196</v>
      </c>
      <c r="D416" s="1375"/>
      <c r="E416" s="1299">
        <v>1.3859999999999999</v>
      </c>
      <c r="F416" s="1398"/>
      <c r="G416" s="1397"/>
      <c r="H416" s="1396"/>
      <c r="I416" s="1372"/>
      <c r="K416" s="1293">
        <v>1</v>
      </c>
      <c r="L416" s="1294">
        <v>0</v>
      </c>
      <c r="N416" s="983">
        <f t="shared" si="8"/>
        <v>0</v>
      </c>
      <c r="Z416" s="334"/>
      <c r="AA416" s="334"/>
    </row>
    <row r="417" spans="1:27">
      <c r="A417" s="96">
        <v>301164</v>
      </c>
      <c r="B417" s="1286" t="s">
        <v>235</v>
      </c>
      <c r="C417" s="645" t="s">
        <v>1196</v>
      </c>
      <c r="D417" s="1375"/>
      <c r="E417" s="1299">
        <v>1.2210000000000001</v>
      </c>
      <c r="F417" s="1398"/>
      <c r="G417" s="1397"/>
      <c r="H417" s="1396"/>
      <c r="I417" s="1372"/>
      <c r="K417" s="1293">
        <v>1</v>
      </c>
      <c r="L417" s="1294">
        <v>0</v>
      </c>
      <c r="N417" s="983">
        <f t="shared" si="8"/>
        <v>0</v>
      </c>
      <c r="Z417" s="334"/>
      <c r="AA417" s="334"/>
    </row>
    <row r="418" spans="1:27">
      <c r="A418" s="96">
        <v>301177</v>
      </c>
      <c r="B418" s="1286" t="s">
        <v>1203</v>
      </c>
      <c r="C418" s="645" t="s">
        <v>1196</v>
      </c>
      <c r="D418" s="1375"/>
      <c r="E418" s="1299">
        <v>0.93400000000000005</v>
      </c>
      <c r="F418" s="1398"/>
      <c r="G418" s="1397"/>
      <c r="H418" s="1396"/>
      <c r="I418" s="1372"/>
      <c r="K418" s="1293">
        <v>1</v>
      </c>
      <c r="L418" s="1294">
        <v>0</v>
      </c>
      <c r="N418" s="983">
        <f t="shared" si="8"/>
        <v>0</v>
      </c>
      <c r="Z418" s="334"/>
      <c r="AA418" s="334"/>
    </row>
    <row r="419" spans="1:27">
      <c r="A419" s="96">
        <v>301178</v>
      </c>
      <c r="B419" s="1286" t="s">
        <v>236</v>
      </c>
      <c r="C419" s="645" t="s">
        <v>1196</v>
      </c>
      <c r="D419" s="1375"/>
      <c r="E419" s="1299">
        <v>1.32</v>
      </c>
      <c r="F419" s="1398"/>
      <c r="G419" s="1397"/>
      <c r="H419" s="1396"/>
      <c r="I419" s="1372"/>
      <c r="K419" s="1293">
        <v>1</v>
      </c>
      <c r="L419" s="1294">
        <v>0</v>
      </c>
      <c r="N419" s="983">
        <f t="shared" si="8"/>
        <v>0</v>
      </c>
      <c r="Z419" s="334"/>
      <c r="AA419" s="334"/>
    </row>
    <row r="420" spans="1:27">
      <c r="A420" s="96">
        <v>301180</v>
      </c>
      <c r="B420" s="1286" t="s">
        <v>1204</v>
      </c>
      <c r="C420" s="645" t="s">
        <v>1196</v>
      </c>
      <c r="D420" s="1375"/>
      <c r="E420" s="1299">
        <v>1.661</v>
      </c>
      <c r="F420" s="1398"/>
      <c r="G420" s="1397"/>
      <c r="H420" s="1396"/>
      <c r="I420" s="1372"/>
      <c r="K420" s="1293">
        <v>1</v>
      </c>
      <c r="L420" s="1294">
        <v>0</v>
      </c>
      <c r="N420" s="983">
        <f t="shared" si="8"/>
        <v>0</v>
      </c>
      <c r="Z420" s="334"/>
      <c r="AA420" s="334"/>
    </row>
    <row r="421" spans="1:27">
      <c r="A421" s="96">
        <v>301182</v>
      </c>
      <c r="B421" s="1286" t="s">
        <v>237</v>
      </c>
      <c r="C421" s="645" t="s">
        <v>1196</v>
      </c>
      <c r="D421" s="1375"/>
      <c r="E421" s="1299">
        <v>1.341</v>
      </c>
      <c r="F421" s="1398"/>
      <c r="G421" s="1397"/>
      <c r="H421" s="1396"/>
      <c r="I421" s="1372"/>
      <c r="K421" s="1293">
        <v>1</v>
      </c>
      <c r="L421" s="1294">
        <v>0</v>
      </c>
      <c r="N421" s="983">
        <f t="shared" si="8"/>
        <v>0</v>
      </c>
      <c r="Z421" s="334"/>
      <c r="AA421" s="334"/>
    </row>
    <row r="422" spans="1:27">
      <c r="A422" s="96">
        <v>301184</v>
      </c>
      <c r="B422" s="1286" t="s">
        <v>446</v>
      </c>
      <c r="C422" s="645" t="s">
        <v>568</v>
      </c>
      <c r="D422" s="1375"/>
      <c r="E422" s="1299">
        <v>2.476</v>
      </c>
      <c r="F422" s="1398"/>
      <c r="G422" s="1397"/>
      <c r="H422" s="1396"/>
      <c r="I422" s="1372"/>
      <c r="K422" s="1293">
        <v>0</v>
      </c>
      <c r="L422" s="1294">
        <v>0</v>
      </c>
      <c r="N422" s="983">
        <f t="shared" si="8"/>
        <v>0</v>
      </c>
      <c r="Z422" s="334"/>
      <c r="AA422" s="334"/>
    </row>
    <row r="423" spans="1:27">
      <c r="A423" s="96">
        <v>301185</v>
      </c>
      <c r="B423" s="1286" t="s">
        <v>824</v>
      </c>
      <c r="C423" s="645" t="s">
        <v>569</v>
      </c>
      <c r="D423" s="1375"/>
      <c r="E423" s="1299">
        <v>0.56999999999999995</v>
      </c>
      <c r="F423" s="1398"/>
      <c r="G423" s="1397"/>
      <c r="H423" s="1396"/>
      <c r="I423" s="1372"/>
      <c r="K423" s="1293">
        <v>0</v>
      </c>
      <c r="L423" s="1294">
        <v>0</v>
      </c>
      <c r="N423" s="983">
        <f t="shared" si="8"/>
        <v>0</v>
      </c>
      <c r="Z423" s="334"/>
      <c r="AA423" s="334"/>
    </row>
    <row r="424" spans="1:27">
      <c r="A424" s="96">
        <v>301191</v>
      </c>
      <c r="B424" s="1286" t="s">
        <v>825</v>
      </c>
      <c r="C424" s="645" t="s">
        <v>1195</v>
      </c>
      <c r="D424" s="1375"/>
      <c r="E424" s="1299">
        <v>2.2050000000000001</v>
      </c>
      <c r="F424" s="1398"/>
      <c r="G424" s="1397"/>
      <c r="H424" s="1396"/>
      <c r="I424" s="1372"/>
      <c r="K424" s="1293">
        <v>0</v>
      </c>
      <c r="L424" s="1294">
        <v>0</v>
      </c>
      <c r="N424" s="983">
        <f t="shared" si="8"/>
        <v>1</v>
      </c>
      <c r="Z424" s="334"/>
      <c r="AA424" s="334"/>
    </row>
    <row r="425" spans="1:27">
      <c r="A425" s="96">
        <v>301193</v>
      </c>
      <c r="B425" s="1286" t="s">
        <v>324</v>
      </c>
      <c r="C425" s="645" t="s">
        <v>1195</v>
      </c>
      <c r="D425" s="1375"/>
      <c r="E425" s="1299">
        <v>2.1800000000000002</v>
      </c>
      <c r="F425" s="1398"/>
      <c r="G425" s="1397"/>
      <c r="H425" s="1396"/>
      <c r="I425" s="1372"/>
      <c r="K425" s="1293">
        <v>0</v>
      </c>
      <c r="L425" s="1294">
        <v>0</v>
      </c>
      <c r="N425" s="983">
        <f t="shared" si="8"/>
        <v>1</v>
      </c>
      <c r="Z425" s="334"/>
      <c r="AA425" s="334"/>
    </row>
    <row r="426" spans="1:27">
      <c r="A426" s="96">
        <v>301194</v>
      </c>
      <c r="B426" s="1286" t="s">
        <v>325</v>
      </c>
      <c r="C426" s="645" t="s">
        <v>1195</v>
      </c>
      <c r="D426" s="1375"/>
      <c r="E426" s="1299">
        <v>1.704</v>
      </c>
      <c r="F426" s="1398"/>
      <c r="G426" s="1397"/>
      <c r="H426" s="1396"/>
      <c r="I426" s="1372"/>
      <c r="K426" s="1293">
        <v>0</v>
      </c>
      <c r="L426" s="1294">
        <v>0</v>
      </c>
      <c r="N426" s="983">
        <f t="shared" si="8"/>
        <v>1</v>
      </c>
      <c r="Z426" s="334"/>
      <c r="AA426" s="334"/>
    </row>
    <row r="427" spans="1:27">
      <c r="A427" s="96">
        <v>301195</v>
      </c>
      <c r="B427" s="1286" t="s">
        <v>326</v>
      </c>
      <c r="C427" s="645" t="s">
        <v>1195</v>
      </c>
      <c r="D427" s="1375"/>
      <c r="E427" s="1299">
        <v>1.94</v>
      </c>
      <c r="F427" s="1398"/>
      <c r="G427" s="1397"/>
      <c r="H427" s="1396"/>
      <c r="I427" s="1372"/>
      <c r="K427" s="1293">
        <v>0</v>
      </c>
      <c r="L427" s="1294">
        <v>0</v>
      </c>
      <c r="N427" s="983">
        <f t="shared" si="8"/>
        <v>1</v>
      </c>
      <c r="Z427" s="334"/>
      <c r="AA427" s="334"/>
    </row>
    <row r="428" spans="1:27">
      <c r="A428" s="96">
        <v>301196</v>
      </c>
      <c r="B428" s="1286" t="s">
        <v>327</v>
      </c>
      <c r="C428" s="645" t="s">
        <v>1195</v>
      </c>
      <c r="D428" s="1375"/>
      <c r="E428" s="1299">
        <v>1.921</v>
      </c>
      <c r="F428" s="1398"/>
      <c r="G428" s="1397"/>
      <c r="H428" s="1396"/>
      <c r="I428" s="1372"/>
      <c r="K428" s="1293">
        <v>0</v>
      </c>
      <c r="L428" s="1294">
        <v>0</v>
      </c>
      <c r="N428" s="983">
        <f t="shared" si="8"/>
        <v>1</v>
      </c>
      <c r="Z428" s="334"/>
      <c r="AA428" s="334"/>
    </row>
    <row r="429" spans="1:27">
      <c r="A429" s="96">
        <v>301197</v>
      </c>
      <c r="B429" s="1286" t="s">
        <v>826</v>
      </c>
      <c r="C429" s="645" t="s">
        <v>1195</v>
      </c>
      <c r="D429" s="1375"/>
      <c r="E429" s="1299">
        <v>2.278</v>
      </c>
      <c r="F429" s="1398"/>
      <c r="G429" s="1397"/>
      <c r="H429" s="1396"/>
      <c r="I429" s="1372"/>
      <c r="K429" s="1293">
        <v>0</v>
      </c>
      <c r="L429" s="1294">
        <v>0</v>
      </c>
      <c r="N429" s="983">
        <f t="shared" si="8"/>
        <v>1</v>
      </c>
      <c r="Z429" s="334"/>
      <c r="AA429" s="334"/>
    </row>
    <row r="430" spans="1:27">
      <c r="A430" s="96">
        <v>301198</v>
      </c>
      <c r="B430" s="1286" t="s">
        <v>827</v>
      </c>
      <c r="C430" s="645" t="s">
        <v>569</v>
      </c>
      <c r="D430" s="1375"/>
      <c r="E430" s="1299">
        <v>1.018</v>
      </c>
      <c r="F430" s="1398"/>
      <c r="G430" s="1397"/>
      <c r="H430" s="1396"/>
      <c r="I430" s="1372"/>
      <c r="K430" s="1293">
        <v>0</v>
      </c>
      <c r="L430" s="1294">
        <v>0</v>
      </c>
      <c r="N430" s="983">
        <f t="shared" si="8"/>
        <v>0</v>
      </c>
      <c r="Z430" s="334"/>
      <c r="AA430" s="334"/>
    </row>
    <row r="431" spans="1:27">
      <c r="A431" s="96">
        <v>301199</v>
      </c>
      <c r="B431" s="1286" t="s">
        <v>828</v>
      </c>
      <c r="C431" s="645" t="s">
        <v>1196</v>
      </c>
      <c r="D431" s="1375"/>
      <c r="E431" s="1299">
        <v>1.468</v>
      </c>
      <c r="F431" s="1398"/>
      <c r="G431" s="1397"/>
      <c r="H431" s="1396"/>
      <c r="I431" s="1372"/>
      <c r="K431" s="1293">
        <v>1</v>
      </c>
      <c r="L431" s="1294">
        <v>0</v>
      </c>
      <c r="N431" s="983">
        <f t="shared" si="8"/>
        <v>0</v>
      </c>
      <c r="Z431" s="334"/>
      <c r="AA431" s="334"/>
    </row>
    <row r="432" spans="1:27">
      <c r="A432" s="96">
        <v>301203</v>
      </c>
      <c r="B432" s="1286" t="s">
        <v>328</v>
      </c>
      <c r="C432" s="645" t="s">
        <v>1195</v>
      </c>
      <c r="D432" s="1375"/>
      <c r="E432" s="1299">
        <v>2.1920000000000002</v>
      </c>
      <c r="F432" s="1398"/>
      <c r="G432" s="1397"/>
      <c r="H432" s="1396"/>
      <c r="I432" s="1372"/>
      <c r="K432" s="1293">
        <v>0</v>
      </c>
      <c r="L432" s="1294">
        <v>0</v>
      </c>
      <c r="N432" s="983">
        <f t="shared" si="8"/>
        <v>1</v>
      </c>
      <c r="Z432" s="334"/>
      <c r="AA432" s="334"/>
    </row>
    <row r="433" spans="1:27">
      <c r="A433" s="96">
        <v>301206</v>
      </c>
      <c r="B433" s="1286" t="s">
        <v>329</v>
      </c>
      <c r="C433" s="645" t="s">
        <v>1195</v>
      </c>
      <c r="D433" s="1375"/>
      <c r="E433" s="1299">
        <v>0.92200000000000004</v>
      </c>
      <c r="F433" s="1398"/>
      <c r="G433" s="1397"/>
      <c r="H433" s="1396"/>
      <c r="I433" s="1372"/>
      <c r="K433" s="1293">
        <v>0</v>
      </c>
      <c r="L433" s="1294">
        <v>0</v>
      </c>
      <c r="N433" s="983">
        <f t="shared" si="8"/>
        <v>1</v>
      </c>
      <c r="Z433" s="334"/>
      <c r="AA433" s="334"/>
    </row>
    <row r="434" spans="1:27">
      <c r="A434" s="96">
        <v>301207</v>
      </c>
      <c r="B434" s="1286" t="s">
        <v>330</v>
      </c>
      <c r="C434" s="645" t="s">
        <v>1195</v>
      </c>
      <c r="D434" s="1375"/>
      <c r="E434" s="1299">
        <v>1.0149999999999999</v>
      </c>
      <c r="F434" s="1398"/>
      <c r="G434" s="1397"/>
      <c r="H434" s="1396"/>
      <c r="I434" s="1372"/>
      <c r="K434" s="1293">
        <v>0</v>
      </c>
      <c r="L434" s="1294">
        <v>0</v>
      </c>
      <c r="N434" s="983">
        <f t="shared" si="8"/>
        <v>1</v>
      </c>
      <c r="Z434" s="334"/>
      <c r="AA434" s="334"/>
    </row>
    <row r="435" spans="1:27">
      <c r="A435" s="96">
        <v>301210</v>
      </c>
      <c r="B435" s="1286" t="s">
        <v>829</v>
      </c>
      <c r="C435" s="645" t="s">
        <v>1195</v>
      </c>
      <c r="D435" s="1375"/>
      <c r="E435" s="1299">
        <v>2.0129999999999999</v>
      </c>
      <c r="F435" s="1398"/>
      <c r="G435" s="1397"/>
      <c r="H435" s="1396"/>
      <c r="I435" s="1372"/>
      <c r="K435" s="1293">
        <v>0</v>
      </c>
      <c r="L435" s="1294">
        <v>0</v>
      </c>
      <c r="N435" s="983">
        <f t="shared" si="8"/>
        <v>1</v>
      </c>
      <c r="Z435" s="334"/>
      <c r="AA435" s="334"/>
    </row>
    <row r="436" spans="1:27">
      <c r="A436" s="96">
        <v>301214</v>
      </c>
      <c r="B436" s="1286" t="s">
        <v>447</v>
      </c>
      <c r="C436" s="645" t="s">
        <v>568</v>
      </c>
      <c r="D436" s="1375"/>
      <c r="E436" s="1299">
        <v>1.224</v>
      </c>
      <c r="F436" s="1398"/>
      <c r="G436" s="1397"/>
      <c r="H436" s="1396"/>
      <c r="I436" s="1372"/>
      <c r="K436" s="1293">
        <v>0</v>
      </c>
      <c r="L436" s="1294">
        <v>0</v>
      </c>
      <c r="N436" s="983">
        <f t="shared" si="8"/>
        <v>0</v>
      </c>
      <c r="Z436" s="334"/>
      <c r="AA436" s="334"/>
    </row>
    <row r="437" spans="1:27">
      <c r="A437" s="96">
        <v>301220</v>
      </c>
      <c r="B437" s="1286" t="s">
        <v>331</v>
      </c>
      <c r="C437" s="645" t="s">
        <v>1195</v>
      </c>
      <c r="D437" s="1375"/>
      <c r="E437" s="1299">
        <v>1.234</v>
      </c>
      <c r="F437" s="1398"/>
      <c r="G437" s="1397"/>
      <c r="H437" s="1396"/>
      <c r="I437" s="1372"/>
      <c r="K437" s="1293">
        <v>0</v>
      </c>
      <c r="L437" s="1294">
        <v>0</v>
      </c>
      <c r="N437" s="983">
        <f t="shared" si="8"/>
        <v>1</v>
      </c>
      <c r="Z437" s="334"/>
      <c r="AA437" s="334"/>
    </row>
    <row r="438" spans="1:27">
      <c r="A438" s="96">
        <v>301222</v>
      </c>
      <c r="B438" s="1286" t="s">
        <v>332</v>
      </c>
      <c r="C438" s="645" t="s">
        <v>1195</v>
      </c>
      <c r="D438" s="1375"/>
      <c r="E438" s="1299">
        <v>2.0390000000000001</v>
      </c>
      <c r="F438" s="1398"/>
      <c r="G438" s="1397"/>
      <c r="H438" s="1396"/>
      <c r="I438" s="1372"/>
      <c r="K438" s="1293">
        <v>0</v>
      </c>
      <c r="L438" s="1294">
        <v>0</v>
      </c>
      <c r="N438" s="983">
        <f t="shared" si="8"/>
        <v>1</v>
      </c>
      <c r="Z438" s="334"/>
      <c r="AA438" s="334"/>
    </row>
    <row r="439" spans="1:27">
      <c r="A439" s="96">
        <v>301229</v>
      </c>
      <c r="B439" s="1286" t="s">
        <v>334</v>
      </c>
      <c r="C439" s="645" t="s">
        <v>1195</v>
      </c>
      <c r="D439" s="1375"/>
      <c r="E439" s="1299">
        <v>2.262</v>
      </c>
      <c r="F439" s="1398"/>
      <c r="G439" s="1397"/>
      <c r="H439" s="1396"/>
      <c r="I439" s="1372"/>
      <c r="K439" s="1293">
        <v>0</v>
      </c>
      <c r="L439" s="1294">
        <v>0</v>
      </c>
      <c r="N439" s="983">
        <f t="shared" si="8"/>
        <v>1</v>
      </c>
      <c r="Z439" s="334"/>
      <c r="AA439" s="334"/>
    </row>
    <row r="440" spans="1:27">
      <c r="A440" s="96">
        <v>301230</v>
      </c>
      <c r="B440" s="1286" t="s">
        <v>335</v>
      </c>
      <c r="C440" s="645" t="s">
        <v>1195</v>
      </c>
      <c r="D440" s="1375"/>
      <c r="E440" s="1299">
        <v>3.1629999999999998</v>
      </c>
      <c r="F440" s="1398"/>
      <c r="G440" s="1397"/>
      <c r="H440" s="1396"/>
      <c r="I440" s="1372"/>
      <c r="K440" s="1293">
        <v>0</v>
      </c>
      <c r="L440" s="1294">
        <v>0</v>
      </c>
      <c r="N440" s="983">
        <f t="shared" si="8"/>
        <v>1</v>
      </c>
      <c r="Z440" s="334"/>
      <c r="AA440" s="334"/>
    </row>
    <row r="441" spans="1:27">
      <c r="A441" s="96">
        <v>301232</v>
      </c>
      <c r="B441" s="1286" t="s">
        <v>336</v>
      </c>
      <c r="C441" s="645" t="s">
        <v>1195</v>
      </c>
      <c r="D441" s="1375"/>
      <c r="E441" s="1299">
        <v>2.6930000000000001</v>
      </c>
      <c r="F441" s="1398"/>
      <c r="G441" s="1397"/>
      <c r="H441" s="1396"/>
      <c r="I441" s="1372"/>
      <c r="K441" s="1293">
        <v>0</v>
      </c>
      <c r="L441" s="1294">
        <v>0</v>
      </c>
      <c r="N441" s="983">
        <f t="shared" si="8"/>
        <v>1</v>
      </c>
      <c r="Z441" s="334"/>
      <c r="AA441" s="334"/>
    </row>
    <row r="442" spans="1:27">
      <c r="A442" s="96">
        <v>301233</v>
      </c>
      <c r="B442" s="1286" t="s">
        <v>337</v>
      </c>
      <c r="C442" s="645" t="s">
        <v>1195</v>
      </c>
      <c r="D442" s="1375"/>
      <c r="E442" s="1299">
        <v>2.46</v>
      </c>
      <c r="F442" s="1398"/>
      <c r="G442" s="1397"/>
      <c r="H442" s="1396"/>
      <c r="I442" s="1372"/>
      <c r="K442" s="1293">
        <v>0</v>
      </c>
      <c r="L442" s="1294">
        <v>0</v>
      </c>
      <c r="N442" s="983">
        <f t="shared" si="8"/>
        <v>1</v>
      </c>
      <c r="Z442" s="334"/>
      <c r="AA442" s="334"/>
    </row>
    <row r="443" spans="1:27">
      <c r="A443" s="96">
        <v>301234</v>
      </c>
      <c r="B443" s="1286" t="s">
        <v>338</v>
      </c>
      <c r="C443" s="645" t="s">
        <v>1195</v>
      </c>
      <c r="D443" s="1375"/>
      <c r="E443" s="1299">
        <v>2.9390000000000001</v>
      </c>
      <c r="F443" s="1398"/>
      <c r="G443" s="1397"/>
      <c r="H443" s="1396"/>
      <c r="I443" s="1372"/>
      <c r="K443" s="1293">
        <v>0</v>
      </c>
      <c r="L443" s="1294">
        <v>0</v>
      </c>
      <c r="N443" s="983">
        <f t="shared" si="8"/>
        <v>1</v>
      </c>
      <c r="Z443" s="334"/>
      <c r="AA443" s="334"/>
    </row>
    <row r="444" spans="1:27">
      <c r="A444" s="96">
        <v>301235</v>
      </c>
      <c r="B444" s="1286" t="s">
        <v>339</v>
      </c>
      <c r="C444" s="645" t="s">
        <v>1195</v>
      </c>
      <c r="D444" s="1375"/>
      <c r="E444" s="1299">
        <v>2.2970000000000002</v>
      </c>
      <c r="F444" s="1398"/>
      <c r="G444" s="1397"/>
      <c r="H444" s="1396"/>
      <c r="I444" s="1372"/>
      <c r="K444" s="1293">
        <v>0</v>
      </c>
      <c r="L444" s="1294">
        <v>0</v>
      </c>
      <c r="N444" s="983">
        <f t="shared" si="8"/>
        <v>1</v>
      </c>
      <c r="Z444" s="334"/>
      <c r="AA444" s="334"/>
    </row>
    <row r="445" spans="1:27">
      <c r="A445" s="96">
        <v>301238</v>
      </c>
      <c r="B445" s="1286" t="s">
        <v>340</v>
      </c>
      <c r="C445" s="645" t="s">
        <v>1195</v>
      </c>
      <c r="D445" s="1375"/>
      <c r="E445" s="1299">
        <v>2.2149999999999999</v>
      </c>
      <c r="F445" s="1398"/>
      <c r="G445" s="1397"/>
      <c r="H445" s="1396"/>
      <c r="I445" s="1372"/>
      <c r="K445" s="1293">
        <v>0</v>
      </c>
      <c r="L445" s="1294">
        <v>0</v>
      </c>
      <c r="N445" s="983">
        <f t="shared" si="8"/>
        <v>1</v>
      </c>
      <c r="Z445" s="334"/>
      <c r="AA445" s="334"/>
    </row>
    <row r="446" spans="1:27">
      <c r="A446" s="96">
        <v>301239</v>
      </c>
      <c r="B446" s="1286" t="s">
        <v>341</v>
      </c>
      <c r="C446" s="645" t="s">
        <v>1195</v>
      </c>
      <c r="D446" s="1375"/>
      <c r="E446" s="1299">
        <v>2.2429999999999999</v>
      </c>
      <c r="F446" s="1398"/>
      <c r="G446" s="1397"/>
      <c r="H446" s="1396"/>
      <c r="I446" s="1372"/>
      <c r="K446" s="1293">
        <v>0</v>
      </c>
      <c r="L446" s="1294">
        <v>0</v>
      </c>
      <c r="N446" s="983">
        <f t="shared" si="8"/>
        <v>1</v>
      </c>
      <c r="Z446" s="334"/>
      <c r="AA446" s="334"/>
    </row>
    <row r="447" spans="1:27">
      <c r="A447" s="96">
        <v>301240</v>
      </c>
      <c r="B447" s="1286" t="s">
        <v>342</v>
      </c>
      <c r="C447" s="645" t="s">
        <v>1195</v>
      </c>
      <c r="D447" s="1375"/>
      <c r="E447" s="1299">
        <v>2.694</v>
      </c>
      <c r="F447" s="1398"/>
      <c r="G447" s="1397"/>
      <c r="H447" s="1396"/>
      <c r="I447" s="1372"/>
      <c r="K447" s="1293">
        <v>0</v>
      </c>
      <c r="L447" s="1294">
        <v>0</v>
      </c>
      <c r="N447" s="983">
        <f t="shared" si="8"/>
        <v>1</v>
      </c>
      <c r="Z447" s="334"/>
      <c r="AA447" s="334"/>
    </row>
    <row r="448" spans="1:27">
      <c r="A448" s="96">
        <v>301241</v>
      </c>
      <c r="B448" s="1286" t="s">
        <v>343</v>
      </c>
      <c r="C448" s="645" t="s">
        <v>1195</v>
      </c>
      <c r="D448" s="1375"/>
      <c r="E448" s="1299">
        <v>2.7080000000000002</v>
      </c>
      <c r="F448" s="1398"/>
      <c r="G448" s="1397"/>
      <c r="H448" s="1396"/>
      <c r="I448" s="1372"/>
      <c r="K448" s="1293">
        <v>0</v>
      </c>
      <c r="L448" s="1294">
        <v>0</v>
      </c>
      <c r="N448" s="983">
        <f t="shared" si="8"/>
        <v>1</v>
      </c>
      <c r="Z448" s="334"/>
      <c r="AA448" s="334"/>
    </row>
    <row r="449" spans="1:27">
      <c r="A449" s="96">
        <v>301242</v>
      </c>
      <c r="B449" s="1286" t="s">
        <v>344</v>
      </c>
      <c r="C449" s="645" t="s">
        <v>1195</v>
      </c>
      <c r="D449" s="1375"/>
      <c r="E449" s="1299">
        <v>2.5539999999999998</v>
      </c>
      <c r="F449" s="1398"/>
      <c r="G449" s="1397"/>
      <c r="H449" s="1396"/>
      <c r="I449" s="1372"/>
      <c r="K449" s="1293">
        <v>0</v>
      </c>
      <c r="L449" s="1294">
        <v>0</v>
      </c>
      <c r="N449" s="983">
        <f t="shared" si="8"/>
        <v>1</v>
      </c>
      <c r="Z449" s="334"/>
      <c r="AA449" s="334"/>
    </row>
    <row r="450" spans="1:27">
      <c r="A450" s="96">
        <v>301243</v>
      </c>
      <c r="B450" s="1286" t="s">
        <v>345</v>
      </c>
      <c r="C450" s="645" t="s">
        <v>1195</v>
      </c>
      <c r="D450" s="1375"/>
      <c r="E450" s="1299">
        <v>2.7120000000000002</v>
      </c>
      <c r="F450" s="1398"/>
      <c r="G450" s="1397"/>
      <c r="H450" s="1396"/>
      <c r="I450" s="1372"/>
      <c r="K450" s="1293">
        <v>0</v>
      </c>
      <c r="L450" s="1294">
        <v>0</v>
      </c>
      <c r="N450" s="983">
        <f t="shared" si="8"/>
        <v>1</v>
      </c>
      <c r="Z450" s="334"/>
      <c r="AA450" s="334"/>
    </row>
    <row r="451" spans="1:27">
      <c r="A451" s="96">
        <v>301244</v>
      </c>
      <c r="B451" s="1286" t="s">
        <v>346</v>
      </c>
      <c r="C451" s="645" t="s">
        <v>1195</v>
      </c>
      <c r="D451" s="1375"/>
      <c r="E451" s="1299">
        <v>2.363</v>
      </c>
      <c r="F451" s="1398"/>
      <c r="G451" s="1397"/>
      <c r="H451" s="1396"/>
      <c r="I451" s="1372"/>
      <c r="K451" s="1293">
        <v>0</v>
      </c>
      <c r="L451" s="1294">
        <v>0</v>
      </c>
      <c r="N451" s="983">
        <f t="shared" si="8"/>
        <v>1</v>
      </c>
      <c r="Z451" s="334"/>
      <c r="AA451" s="334"/>
    </row>
    <row r="452" spans="1:27">
      <c r="A452" s="96">
        <v>301245</v>
      </c>
      <c r="B452" s="1286" t="s">
        <v>347</v>
      </c>
      <c r="C452" s="645" t="s">
        <v>1195</v>
      </c>
      <c r="D452" s="1375"/>
      <c r="E452" s="1299">
        <v>2.3610000000000002</v>
      </c>
      <c r="F452" s="1398"/>
      <c r="G452" s="1397"/>
      <c r="H452" s="1396"/>
      <c r="I452" s="1372"/>
      <c r="K452" s="1293">
        <v>0</v>
      </c>
      <c r="L452" s="1294">
        <v>0</v>
      </c>
      <c r="N452" s="983">
        <f t="shared" si="8"/>
        <v>1</v>
      </c>
      <c r="Z452" s="334"/>
      <c r="AA452" s="334"/>
    </row>
    <row r="453" spans="1:27">
      <c r="A453" s="96">
        <v>301246</v>
      </c>
      <c r="B453" s="1286" t="s">
        <v>348</v>
      </c>
      <c r="C453" s="645" t="s">
        <v>1195</v>
      </c>
      <c r="D453" s="1375"/>
      <c r="E453" s="1299">
        <v>0.28000000000000003</v>
      </c>
      <c r="F453" s="1398"/>
      <c r="G453" s="1397"/>
      <c r="H453" s="1396"/>
      <c r="I453" s="1372"/>
      <c r="K453" s="1293">
        <v>0</v>
      </c>
      <c r="L453" s="1294">
        <v>0</v>
      </c>
      <c r="N453" s="983">
        <f t="shared" si="8"/>
        <v>1</v>
      </c>
      <c r="Z453" s="334"/>
      <c r="AA453" s="334"/>
    </row>
    <row r="454" spans="1:27">
      <c r="A454" s="96">
        <v>301248</v>
      </c>
      <c r="B454" s="1286" t="s">
        <v>349</v>
      </c>
      <c r="C454" s="645" t="s">
        <v>1195</v>
      </c>
      <c r="D454" s="1375"/>
      <c r="E454" s="1299">
        <v>0.85899999999999999</v>
      </c>
      <c r="F454" s="1398"/>
      <c r="G454" s="1397"/>
      <c r="H454" s="1396"/>
      <c r="I454" s="1372"/>
      <c r="K454" s="1293">
        <v>0</v>
      </c>
      <c r="L454" s="1294">
        <v>0</v>
      </c>
      <c r="N454" s="983">
        <f t="shared" si="8"/>
        <v>1</v>
      </c>
      <c r="Z454" s="334"/>
      <c r="AA454" s="334"/>
    </row>
    <row r="455" spans="1:27">
      <c r="A455" s="96">
        <v>301249</v>
      </c>
      <c r="B455" s="1286" t="s">
        <v>350</v>
      </c>
      <c r="C455" s="645" t="s">
        <v>1195</v>
      </c>
      <c r="D455" s="1375"/>
      <c r="E455" s="1299">
        <v>1.369</v>
      </c>
      <c r="F455" s="1398"/>
      <c r="G455" s="1397"/>
      <c r="H455" s="1396"/>
      <c r="I455" s="1372"/>
      <c r="K455" s="1293">
        <v>0</v>
      </c>
      <c r="L455" s="1294">
        <v>0</v>
      </c>
      <c r="N455" s="983">
        <f t="shared" si="8"/>
        <v>1</v>
      </c>
      <c r="Z455" s="334"/>
      <c r="AA455" s="334"/>
    </row>
    <row r="456" spans="1:27">
      <c r="A456" s="96">
        <v>301250</v>
      </c>
      <c r="B456" s="1286" t="s">
        <v>351</v>
      </c>
      <c r="C456" s="645" t="s">
        <v>1195</v>
      </c>
      <c r="D456" s="1375"/>
      <c r="E456" s="1299">
        <v>0.35899999999999999</v>
      </c>
      <c r="F456" s="1398"/>
      <c r="G456" s="1397"/>
      <c r="H456" s="1396"/>
      <c r="I456" s="1372"/>
      <c r="K456" s="1293">
        <v>0</v>
      </c>
      <c r="L456" s="1294">
        <v>0</v>
      </c>
      <c r="N456" s="983">
        <f t="shared" si="8"/>
        <v>1</v>
      </c>
      <c r="Z456" s="334"/>
      <c r="AA456" s="334"/>
    </row>
    <row r="457" spans="1:27">
      <c r="A457" s="96">
        <v>301251</v>
      </c>
      <c r="B457" s="1286" t="s">
        <v>352</v>
      </c>
      <c r="C457" s="645" t="s">
        <v>1195</v>
      </c>
      <c r="D457" s="1375"/>
      <c r="E457" s="1299">
        <v>1.0049999999999999</v>
      </c>
      <c r="F457" s="1398"/>
      <c r="G457" s="1397"/>
      <c r="H457" s="1396"/>
      <c r="I457" s="1372"/>
      <c r="K457" s="1293">
        <v>0</v>
      </c>
      <c r="L457" s="1294">
        <v>0</v>
      </c>
      <c r="N457" s="983">
        <f t="shared" si="8"/>
        <v>1</v>
      </c>
      <c r="Z457" s="334"/>
      <c r="AA457" s="334"/>
    </row>
    <row r="458" spans="1:27">
      <c r="A458" s="96">
        <v>301252</v>
      </c>
      <c r="B458" s="1286" t="s">
        <v>353</v>
      </c>
      <c r="C458" s="645" t="s">
        <v>1195</v>
      </c>
      <c r="D458" s="1375"/>
      <c r="E458" s="1299">
        <v>1.093</v>
      </c>
      <c r="F458" s="1398"/>
      <c r="G458" s="1397"/>
      <c r="H458" s="1396"/>
      <c r="I458" s="1372"/>
      <c r="K458" s="1293">
        <v>0</v>
      </c>
      <c r="L458" s="1294">
        <v>0</v>
      </c>
      <c r="N458" s="983">
        <f t="shared" ref="N458:N521" si="9">IF(C458="local distribution point",1,0)</f>
        <v>1</v>
      </c>
      <c r="Z458" s="334"/>
      <c r="AA458" s="334"/>
    </row>
    <row r="459" spans="1:27">
      <c r="A459" s="96">
        <v>301253</v>
      </c>
      <c r="B459" s="1286" t="s">
        <v>354</v>
      </c>
      <c r="C459" s="645" t="s">
        <v>1195</v>
      </c>
      <c r="D459" s="1375"/>
      <c r="E459" s="1299">
        <v>0.35899999999999999</v>
      </c>
      <c r="F459" s="1398"/>
      <c r="G459" s="1397"/>
      <c r="H459" s="1396"/>
      <c r="I459" s="1372"/>
      <c r="K459" s="1293">
        <v>0</v>
      </c>
      <c r="L459" s="1294">
        <v>0</v>
      </c>
      <c r="N459" s="983">
        <f t="shared" si="9"/>
        <v>1</v>
      </c>
      <c r="Z459" s="334"/>
      <c r="AA459" s="334"/>
    </row>
    <row r="460" spans="1:27">
      <c r="A460" s="96">
        <v>301254</v>
      </c>
      <c r="B460" s="1286" t="s">
        <v>355</v>
      </c>
      <c r="C460" s="645" t="s">
        <v>1195</v>
      </c>
      <c r="D460" s="1375"/>
      <c r="E460" s="1299">
        <v>1.2669999999999999</v>
      </c>
      <c r="F460" s="1398"/>
      <c r="G460" s="1397"/>
      <c r="H460" s="1396"/>
      <c r="I460" s="1372"/>
      <c r="K460" s="1293">
        <v>0</v>
      </c>
      <c r="L460" s="1294">
        <v>0</v>
      </c>
      <c r="N460" s="983">
        <f t="shared" si="9"/>
        <v>1</v>
      </c>
      <c r="Z460" s="334"/>
      <c r="AA460" s="334"/>
    </row>
    <row r="461" spans="1:27">
      <c r="A461" s="96">
        <v>301255</v>
      </c>
      <c r="B461" s="1286" t="s">
        <v>356</v>
      </c>
      <c r="C461" s="645" t="s">
        <v>1195</v>
      </c>
      <c r="D461" s="1375"/>
      <c r="E461" s="1299">
        <v>1.028</v>
      </c>
      <c r="F461" s="1398"/>
      <c r="G461" s="1397"/>
      <c r="H461" s="1396"/>
      <c r="I461" s="1372"/>
      <c r="K461" s="1293">
        <v>0</v>
      </c>
      <c r="L461" s="1294">
        <v>0</v>
      </c>
      <c r="N461" s="983">
        <f t="shared" si="9"/>
        <v>1</v>
      </c>
      <c r="Z461" s="334"/>
      <c r="AA461" s="334"/>
    </row>
    <row r="462" spans="1:27">
      <c r="A462" s="96">
        <v>301257</v>
      </c>
      <c r="B462" s="1286" t="s">
        <v>357</v>
      </c>
      <c r="C462" s="645" t="s">
        <v>1195</v>
      </c>
      <c r="D462" s="1375"/>
      <c r="E462" s="1299">
        <v>1.482</v>
      </c>
      <c r="F462" s="1398"/>
      <c r="G462" s="1397"/>
      <c r="H462" s="1396"/>
      <c r="I462" s="1372"/>
      <c r="K462" s="1293">
        <v>0</v>
      </c>
      <c r="L462" s="1294">
        <v>0</v>
      </c>
      <c r="N462" s="983">
        <f t="shared" si="9"/>
        <v>1</v>
      </c>
      <c r="Z462" s="334"/>
      <c r="AA462" s="334"/>
    </row>
    <row r="463" spans="1:27">
      <c r="A463" s="96">
        <v>301259</v>
      </c>
      <c r="B463" s="1286" t="s">
        <v>358</v>
      </c>
      <c r="C463" s="645" t="s">
        <v>1195</v>
      </c>
      <c r="D463" s="1375"/>
      <c r="E463" s="1299">
        <v>1.512</v>
      </c>
      <c r="F463" s="1398"/>
      <c r="G463" s="1397"/>
      <c r="H463" s="1396"/>
      <c r="I463" s="1372"/>
      <c r="K463" s="1293">
        <v>0</v>
      </c>
      <c r="L463" s="1294">
        <v>0</v>
      </c>
      <c r="N463" s="983">
        <f t="shared" si="9"/>
        <v>1</v>
      </c>
      <c r="Z463" s="334"/>
      <c r="AA463" s="334"/>
    </row>
    <row r="464" spans="1:27">
      <c r="A464" s="96">
        <v>301263</v>
      </c>
      <c r="B464" s="1286" t="s">
        <v>359</v>
      </c>
      <c r="C464" s="645" t="s">
        <v>1195</v>
      </c>
      <c r="D464" s="1375"/>
      <c r="E464" s="1299">
        <v>1.8109999999999999</v>
      </c>
      <c r="F464" s="1398"/>
      <c r="G464" s="1397"/>
      <c r="H464" s="1396"/>
      <c r="I464" s="1372"/>
      <c r="K464" s="1293">
        <v>0</v>
      </c>
      <c r="L464" s="1294">
        <v>0</v>
      </c>
      <c r="N464" s="983">
        <f t="shared" si="9"/>
        <v>1</v>
      </c>
      <c r="Z464" s="334"/>
      <c r="AA464" s="334"/>
    </row>
    <row r="465" spans="1:27">
      <c r="A465" s="96">
        <v>301264</v>
      </c>
      <c r="B465" s="1286" t="s">
        <v>360</v>
      </c>
      <c r="C465" s="645" t="s">
        <v>1195</v>
      </c>
      <c r="D465" s="1375"/>
      <c r="E465" s="1299">
        <v>1.24</v>
      </c>
      <c r="F465" s="1398"/>
      <c r="G465" s="1397"/>
      <c r="H465" s="1396"/>
      <c r="I465" s="1372"/>
      <c r="K465" s="1293">
        <v>0</v>
      </c>
      <c r="L465" s="1294">
        <v>0</v>
      </c>
      <c r="N465" s="983">
        <f t="shared" si="9"/>
        <v>1</v>
      </c>
      <c r="Z465" s="334"/>
      <c r="AA465" s="334"/>
    </row>
    <row r="466" spans="1:27">
      <c r="A466" s="96">
        <v>301265</v>
      </c>
      <c r="B466" s="1286" t="s">
        <v>361</v>
      </c>
      <c r="C466" s="645" t="s">
        <v>1195</v>
      </c>
      <c r="D466" s="1375"/>
      <c r="E466" s="1299">
        <v>1.6950000000000001</v>
      </c>
      <c r="F466" s="1398"/>
      <c r="G466" s="1397"/>
      <c r="H466" s="1396"/>
      <c r="I466" s="1372"/>
      <c r="K466" s="1293">
        <v>0</v>
      </c>
      <c r="L466" s="1294">
        <v>0</v>
      </c>
      <c r="N466" s="983">
        <f t="shared" si="9"/>
        <v>1</v>
      </c>
      <c r="Z466" s="334"/>
      <c r="AA466" s="334"/>
    </row>
    <row r="467" spans="1:27">
      <c r="A467" s="96">
        <v>301266</v>
      </c>
      <c r="B467" s="1286" t="s">
        <v>362</v>
      </c>
      <c r="C467" s="645" t="s">
        <v>1195</v>
      </c>
      <c r="D467" s="1375"/>
      <c r="E467" s="1299">
        <v>2.0219999999999998</v>
      </c>
      <c r="F467" s="1398"/>
      <c r="G467" s="1397"/>
      <c r="H467" s="1396"/>
      <c r="I467" s="1372"/>
      <c r="K467" s="1293">
        <v>0</v>
      </c>
      <c r="L467" s="1294">
        <v>0</v>
      </c>
      <c r="N467" s="983">
        <f t="shared" si="9"/>
        <v>1</v>
      </c>
      <c r="Z467" s="334"/>
      <c r="AA467" s="334"/>
    </row>
    <row r="468" spans="1:27">
      <c r="A468" s="96">
        <v>301271</v>
      </c>
      <c r="B468" s="1286" t="s">
        <v>363</v>
      </c>
      <c r="C468" s="645" t="s">
        <v>1195</v>
      </c>
      <c r="D468" s="1375"/>
      <c r="E468" s="1299">
        <v>1.6719999999999999</v>
      </c>
      <c r="F468" s="1398"/>
      <c r="G468" s="1397"/>
      <c r="H468" s="1396"/>
      <c r="I468" s="1372"/>
      <c r="K468" s="1293">
        <v>0</v>
      </c>
      <c r="L468" s="1294">
        <v>0</v>
      </c>
      <c r="N468" s="983">
        <f t="shared" si="9"/>
        <v>1</v>
      </c>
      <c r="Z468" s="334"/>
      <c r="AA468" s="334"/>
    </row>
    <row r="469" spans="1:27">
      <c r="A469" s="96">
        <v>301272</v>
      </c>
      <c r="B469" s="1286" t="s">
        <v>364</v>
      </c>
      <c r="C469" s="645" t="s">
        <v>1195</v>
      </c>
      <c r="D469" s="1375"/>
      <c r="E469" s="1299">
        <v>2.173</v>
      </c>
      <c r="F469" s="1398"/>
      <c r="G469" s="1397"/>
      <c r="H469" s="1396"/>
      <c r="I469" s="1372"/>
      <c r="K469" s="1293">
        <v>0</v>
      </c>
      <c r="L469" s="1294">
        <v>0</v>
      </c>
      <c r="N469" s="983">
        <f t="shared" si="9"/>
        <v>1</v>
      </c>
      <c r="Z469" s="334"/>
      <c r="AA469" s="334"/>
    </row>
    <row r="470" spans="1:27">
      <c r="A470" s="96">
        <v>301273</v>
      </c>
      <c r="B470" s="1286" t="s">
        <v>365</v>
      </c>
      <c r="C470" s="645" t="s">
        <v>1195</v>
      </c>
      <c r="D470" s="1375"/>
      <c r="E470" s="1299">
        <v>1.23</v>
      </c>
      <c r="F470" s="1398"/>
      <c r="G470" s="1397"/>
      <c r="H470" s="1396"/>
      <c r="I470" s="1372"/>
      <c r="K470" s="1293">
        <v>0</v>
      </c>
      <c r="L470" s="1294">
        <v>0</v>
      </c>
      <c r="N470" s="983">
        <f t="shared" si="9"/>
        <v>1</v>
      </c>
      <c r="Z470" s="334"/>
      <c r="AA470" s="334"/>
    </row>
    <row r="471" spans="1:27">
      <c r="A471" s="96">
        <v>301275</v>
      </c>
      <c r="B471" s="1286" t="s">
        <v>366</v>
      </c>
      <c r="C471" s="645" t="s">
        <v>1195</v>
      </c>
      <c r="D471" s="1375"/>
      <c r="E471" s="1299">
        <v>1.51</v>
      </c>
      <c r="F471" s="1398"/>
      <c r="G471" s="1397"/>
      <c r="H471" s="1396"/>
      <c r="I471" s="1372"/>
      <c r="K471" s="1293">
        <v>0</v>
      </c>
      <c r="L471" s="1294">
        <v>0</v>
      </c>
      <c r="N471" s="983">
        <f t="shared" si="9"/>
        <v>1</v>
      </c>
      <c r="Z471" s="334"/>
      <c r="AA471" s="334"/>
    </row>
    <row r="472" spans="1:27">
      <c r="A472" s="96">
        <v>301276</v>
      </c>
      <c r="B472" s="1286" t="s">
        <v>47</v>
      </c>
      <c r="C472" s="645" t="s">
        <v>569</v>
      </c>
      <c r="D472" s="1375"/>
      <c r="E472" s="1299">
        <v>0.28799999999999998</v>
      </c>
      <c r="F472" s="1398"/>
      <c r="G472" s="1397"/>
      <c r="H472" s="1396"/>
      <c r="I472" s="1372"/>
      <c r="K472" s="1293">
        <v>0</v>
      </c>
      <c r="L472" s="1294">
        <v>0</v>
      </c>
      <c r="N472" s="983">
        <f t="shared" si="9"/>
        <v>0</v>
      </c>
      <c r="Z472" s="334"/>
      <c r="AA472" s="334"/>
    </row>
    <row r="473" spans="1:27">
      <c r="A473" s="96">
        <v>301304</v>
      </c>
      <c r="B473" s="1286" t="s">
        <v>255</v>
      </c>
      <c r="C473" s="645" t="s">
        <v>1196</v>
      </c>
      <c r="D473" s="1375"/>
      <c r="E473" s="1299">
        <v>1.3049999999999999</v>
      </c>
      <c r="F473" s="1398"/>
      <c r="G473" s="1397"/>
      <c r="H473" s="1396"/>
      <c r="I473" s="1372"/>
      <c r="K473" s="1293">
        <v>1</v>
      </c>
      <c r="L473" s="1294">
        <v>0</v>
      </c>
      <c r="N473" s="983">
        <f t="shared" si="9"/>
        <v>0</v>
      </c>
      <c r="Z473" s="334"/>
      <c r="AA473" s="334"/>
    </row>
    <row r="474" spans="1:27">
      <c r="A474" s="96">
        <v>301305</v>
      </c>
      <c r="B474" s="1286" t="s">
        <v>238</v>
      </c>
      <c r="C474" s="645" t="s">
        <v>1205</v>
      </c>
      <c r="D474" s="1375"/>
      <c r="E474" s="1299">
        <v>1.9419999999999999</v>
      </c>
      <c r="F474" s="1398"/>
      <c r="G474" s="1397"/>
      <c r="H474" s="1396"/>
      <c r="I474" s="1372"/>
      <c r="K474" s="1293">
        <v>1</v>
      </c>
      <c r="L474" s="1294">
        <v>0</v>
      </c>
      <c r="N474" s="983">
        <f t="shared" si="9"/>
        <v>0</v>
      </c>
      <c r="Z474" s="334"/>
      <c r="AA474" s="334"/>
    </row>
    <row r="475" spans="1:27">
      <c r="A475" s="96">
        <v>301306</v>
      </c>
      <c r="B475" s="1286" t="s">
        <v>239</v>
      </c>
      <c r="C475" s="645" t="s">
        <v>1196</v>
      </c>
      <c r="D475" s="1375"/>
      <c r="E475" s="1299">
        <v>1.32</v>
      </c>
      <c r="F475" s="1398"/>
      <c r="G475" s="1397"/>
      <c r="H475" s="1396"/>
      <c r="I475" s="1372"/>
      <c r="K475" s="1293">
        <v>1</v>
      </c>
      <c r="L475" s="1294">
        <v>0</v>
      </c>
      <c r="N475" s="983">
        <f t="shared" si="9"/>
        <v>0</v>
      </c>
      <c r="Z475" s="334"/>
      <c r="AA475" s="334"/>
    </row>
    <row r="476" spans="1:27">
      <c r="A476" s="96">
        <v>301309</v>
      </c>
      <c r="B476" s="1286" t="s">
        <v>48</v>
      </c>
      <c r="C476" s="645" t="s">
        <v>569</v>
      </c>
      <c r="D476" s="1375"/>
      <c r="E476" s="1299">
        <v>1.018</v>
      </c>
      <c r="F476" s="1398"/>
      <c r="G476" s="1397"/>
      <c r="H476" s="1396"/>
      <c r="I476" s="1372"/>
      <c r="K476" s="1293">
        <v>0</v>
      </c>
      <c r="L476" s="1294">
        <v>0</v>
      </c>
      <c r="N476" s="983">
        <f t="shared" si="9"/>
        <v>0</v>
      </c>
      <c r="Z476" s="334"/>
      <c r="AA476" s="334"/>
    </row>
    <row r="477" spans="1:27">
      <c r="A477" s="96">
        <v>301312</v>
      </c>
      <c r="B477" s="1286" t="s">
        <v>367</v>
      </c>
      <c r="C477" s="645" t="s">
        <v>568</v>
      </c>
      <c r="D477" s="1375"/>
      <c r="E477" s="1299">
        <v>2.476</v>
      </c>
      <c r="F477" s="1398"/>
      <c r="G477" s="1397"/>
      <c r="H477" s="1396"/>
      <c r="I477" s="1372"/>
      <c r="K477" s="1293">
        <v>0</v>
      </c>
      <c r="L477" s="1294">
        <v>0</v>
      </c>
      <c r="N477" s="983">
        <f t="shared" si="9"/>
        <v>0</v>
      </c>
      <c r="Z477" s="334"/>
      <c r="AA477" s="334"/>
    </row>
    <row r="478" spans="1:27">
      <c r="A478" s="96">
        <v>301313</v>
      </c>
      <c r="B478" s="1286" t="s">
        <v>240</v>
      </c>
      <c r="C478" s="645" t="s">
        <v>1196</v>
      </c>
      <c r="D478" s="1375"/>
      <c r="E478" s="1299">
        <v>1.34</v>
      </c>
      <c r="F478" s="1398"/>
      <c r="G478" s="1397"/>
      <c r="H478" s="1396"/>
      <c r="I478" s="1372"/>
      <c r="K478" s="1293">
        <v>1</v>
      </c>
      <c r="L478" s="1294">
        <v>0</v>
      </c>
      <c r="N478" s="983">
        <f t="shared" si="9"/>
        <v>0</v>
      </c>
      <c r="Z478" s="334"/>
      <c r="AA478" s="334"/>
    </row>
    <row r="479" spans="1:27">
      <c r="A479" s="96">
        <v>301319</v>
      </c>
      <c r="B479" s="1286" t="s">
        <v>1206</v>
      </c>
      <c r="C479" s="645" t="s">
        <v>1196</v>
      </c>
      <c r="D479" s="1375"/>
      <c r="E479" s="1299">
        <v>0.83199999999999996</v>
      </c>
      <c r="F479" s="1398"/>
      <c r="G479" s="1397"/>
      <c r="H479" s="1396"/>
      <c r="I479" s="1372"/>
      <c r="K479" s="1293">
        <v>1</v>
      </c>
      <c r="L479" s="1294">
        <v>0</v>
      </c>
      <c r="N479" s="983">
        <f t="shared" si="9"/>
        <v>0</v>
      </c>
      <c r="Z479" s="334"/>
      <c r="AA479" s="334"/>
    </row>
    <row r="480" spans="1:27">
      <c r="A480" s="96">
        <v>301320</v>
      </c>
      <c r="B480" s="1286" t="s">
        <v>830</v>
      </c>
      <c r="C480" s="645" t="s">
        <v>569</v>
      </c>
      <c r="D480" s="1375"/>
      <c r="E480" s="1299">
        <v>0.28499999999999998</v>
      </c>
      <c r="F480" s="1398"/>
      <c r="G480" s="1397"/>
      <c r="H480" s="1396"/>
      <c r="I480" s="1372"/>
      <c r="K480" s="1293">
        <v>0</v>
      </c>
      <c r="L480" s="1294">
        <v>0</v>
      </c>
      <c r="N480" s="983">
        <f t="shared" si="9"/>
        <v>0</v>
      </c>
      <c r="Z480" s="334"/>
      <c r="AA480" s="334"/>
    </row>
    <row r="481" spans="1:29">
      <c r="A481" s="96">
        <v>301321</v>
      </c>
      <c r="B481" s="1286" t="s">
        <v>241</v>
      </c>
      <c r="C481" s="645" t="s">
        <v>1196</v>
      </c>
      <c r="D481" s="1375"/>
      <c r="E481" s="1299">
        <v>1.23</v>
      </c>
      <c r="F481" s="1398"/>
      <c r="G481" s="1397"/>
      <c r="H481" s="1396"/>
      <c r="I481" s="1372"/>
      <c r="K481" s="1293">
        <v>1</v>
      </c>
      <c r="L481" s="1294">
        <v>0</v>
      </c>
      <c r="N481" s="983">
        <f t="shared" si="9"/>
        <v>0</v>
      </c>
      <c r="Z481" s="334"/>
      <c r="AA481" s="334"/>
    </row>
    <row r="482" spans="1:29">
      <c r="A482" s="96">
        <v>301323</v>
      </c>
      <c r="B482" s="1286" t="s">
        <v>368</v>
      </c>
      <c r="C482" s="645" t="s">
        <v>1195</v>
      </c>
      <c r="D482" s="1375"/>
      <c r="E482" s="1299">
        <v>1.4570000000000001</v>
      </c>
      <c r="F482" s="1398"/>
      <c r="G482" s="1397"/>
      <c r="H482" s="1396"/>
      <c r="I482" s="1372"/>
      <c r="K482" s="1293">
        <v>0</v>
      </c>
      <c r="L482" s="1294">
        <v>0</v>
      </c>
      <c r="N482" s="983">
        <f t="shared" si="9"/>
        <v>1</v>
      </c>
      <c r="Z482" s="334"/>
      <c r="AA482" s="334"/>
    </row>
    <row r="483" spans="1:29">
      <c r="A483" s="96">
        <v>301324</v>
      </c>
      <c r="B483" s="1286" t="s">
        <v>369</v>
      </c>
      <c r="C483" s="645" t="s">
        <v>1195</v>
      </c>
      <c r="D483" s="1375"/>
      <c r="E483" s="1299">
        <v>1.51</v>
      </c>
      <c r="F483" s="1398"/>
      <c r="G483" s="1397"/>
      <c r="H483" s="1396"/>
      <c r="I483" s="1372"/>
      <c r="K483" s="1293">
        <v>0</v>
      </c>
      <c r="L483" s="1294">
        <v>0</v>
      </c>
      <c r="N483" s="983">
        <f t="shared" si="9"/>
        <v>1</v>
      </c>
      <c r="Z483" s="334"/>
      <c r="AA483" s="334"/>
    </row>
    <row r="484" spans="1:29">
      <c r="A484" s="96">
        <v>301325</v>
      </c>
      <c r="B484" s="1286" t="s">
        <v>370</v>
      </c>
      <c r="C484" s="645" t="s">
        <v>1195</v>
      </c>
      <c r="D484" s="1375"/>
      <c r="E484" s="1299">
        <v>2.0350000000000001</v>
      </c>
      <c r="F484" s="1398"/>
      <c r="G484" s="1397"/>
      <c r="H484" s="1396"/>
      <c r="I484" s="1372"/>
      <c r="K484" s="1293">
        <v>0</v>
      </c>
      <c r="L484" s="1294">
        <v>0</v>
      </c>
      <c r="N484" s="983">
        <f t="shared" si="9"/>
        <v>1</v>
      </c>
      <c r="Z484" s="334"/>
      <c r="AA484" s="334"/>
    </row>
    <row r="485" spans="1:29">
      <c r="A485" s="96">
        <v>301327</v>
      </c>
      <c r="B485" s="1286" t="s">
        <v>17</v>
      </c>
      <c r="C485" s="645" t="s">
        <v>1195</v>
      </c>
      <c r="D485" s="1375"/>
      <c r="E485" s="1299">
        <v>1.64</v>
      </c>
      <c r="F485" s="1398"/>
      <c r="G485" s="1397"/>
      <c r="H485" s="1396"/>
      <c r="I485" s="1372"/>
      <c r="K485" s="1293">
        <v>0</v>
      </c>
      <c r="L485" s="1294">
        <v>0</v>
      </c>
      <c r="N485" s="983">
        <f t="shared" si="9"/>
        <v>1</v>
      </c>
      <c r="Z485" s="334"/>
      <c r="AA485" s="334"/>
    </row>
    <row r="486" spans="1:29">
      <c r="A486" s="96">
        <v>301328</v>
      </c>
      <c r="B486" s="1286" t="s">
        <v>18</v>
      </c>
      <c r="C486" s="645" t="s">
        <v>1195</v>
      </c>
      <c r="D486" s="1375"/>
      <c r="E486" s="1299">
        <v>0.79800000000000004</v>
      </c>
      <c r="F486" s="1398"/>
      <c r="G486" s="1397"/>
      <c r="H486" s="1396"/>
      <c r="I486" s="1372"/>
      <c r="K486" s="1293">
        <v>0</v>
      </c>
      <c r="L486" s="1294">
        <v>0</v>
      </c>
      <c r="N486" s="983">
        <f t="shared" si="9"/>
        <v>1</v>
      </c>
      <c r="Z486" s="334"/>
      <c r="AA486" s="334"/>
    </row>
    <row r="487" spans="1:29">
      <c r="A487" s="96">
        <v>301331</v>
      </c>
      <c r="B487" s="1286" t="s">
        <v>242</v>
      </c>
      <c r="C487" s="645" t="s">
        <v>1196</v>
      </c>
      <c r="D487" s="1375"/>
      <c r="E487" s="1299">
        <v>0.83199999999999996</v>
      </c>
      <c r="F487" s="1398"/>
      <c r="G487" s="1397"/>
      <c r="H487" s="1396"/>
      <c r="I487" s="1372"/>
      <c r="K487" s="1293">
        <v>1</v>
      </c>
      <c r="L487" s="1294">
        <v>0</v>
      </c>
      <c r="N487" s="983">
        <f t="shared" si="9"/>
        <v>0</v>
      </c>
      <c r="O487" s="994"/>
      <c r="Z487" s="334"/>
      <c r="AA487" s="334"/>
    </row>
    <row r="488" spans="1:29">
      <c r="A488" s="96">
        <v>301337</v>
      </c>
      <c r="B488" s="1286" t="s">
        <v>655</v>
      </c>
      <c r="C488" s="645" t="s">
        <v>1196</v>
      </c>
      <c r="D488" s="1375"/>
      <c r="E488" s="1299">
        <v>1.506</v>
      </c>
      <c r="F488" s="1398"/>
      <c r="G488" s="1397"/>
      <c r="H488" s="1396"/>
      <c r="I488" s="1372"/>
      <c r="J488" s="192"/>
      <c r="K488" s="1293">
        <v>1</v>
      </c>
      <c r="L488" s="1294">
        <v>0</v>
      </c>
      <c r="M488" s="192"/>
      <c r="N488" s="983">
        <f t="shared" si="9"/>
        <v>0</v>
      </c>
      <c r="Z488" s="334"/>
      <c r="AA488" s="334"/>
    </row>
    <row r="489" spans="1:29">
      <c r="A489" s="96">
        <v>301338</v>
      </c>
      <c r="B489" s="1286" t="s">
        <v>243</v>
      </c>
      <c r="C489" s="645" t="s">
        <v>1195</v>
      </c>
      <c r="D489" s="1375"/>
      <c r="E489" s="1299">
        <v>1.32</v>
      </c>
      <c r="F489" s="1398"/>
      <c r="G489" s="1397"/>
      <c r="H489" s="1396"/>
      <c r="I489" s="1372"/>
      <c r="K489" s="1293">
        <v>0</v>
      </c>
      <c r="L489" s="1294">
        <v>0</v>
      </c>
      <c r="N489" s="983">
        <f t="shared" si="9"/>
        <v>1</v>
      </c>
      <c r="Z489" s="334"/>
      <c r="AA489" s="334"/>
    </row>
    <row r="490" spans="1:29">
      <c r="A490" s="96">
        <v>301343</v>
      </c>
      <c r="B490" s="1286" t="s">
        <v>244</v>
      </c>
      <c r="C490" s="645" t="s">
        <v>1196</v>
      </c>
      <c r="D490" s="1375"/>
      <c r="E490" s="1299">
        <v>1.3049999999999999</v>
      </c>
      <c r="F490" s="1398"/>
      <c r="G490" s="1397"/>
      <c r="H490" s="1396"/>
      <c r="I490" s="1372"/>
      <c r="K490" s="1293">
        <v>1</v>
      </c>
      <c r="L490" s="1294">
        <v>0</v>
      </c>
      <c r="N490" s="983">
        <f t="shared" si="9"/>
        <v>0</v>
      </c>
      <c r="Z490" s="334"/>
      <c r="AA490" s="334"/>
    </row>
    <row r="491" spans="1:29">
      <c r="A491" s="96">
        <v>301344</v>
      </c>
      <c r="B491" s="1286" t="s">
        <v>192</v>
      </c>
      <c r="C491" s="645" t="s">
        <v>1196</v>
      </c>
      <c r="D491" s="1375"/>
      <c r="E491" s="1299">
        <v>1.401</v>
      </c>
      <c r="F491" s="1398"/>
      <c r="G491" s="1397"/>
      <c r="H491" s="1396"/>
      <c r="I491" s="1372"/>
      <c r="K491" s="1293">
        <v>1</v>
      </c>
      <c r="L491" s="1294">
        <v>0</v>
      </c>
      <c r="N491" s="983">
        <f t="shared" si="9"/>
        <v>0</v>
      </c>
      <c r="Z491" s="334"/>
      <c r="AA491" s="334"/>
      <c r="AC491" s="195"/>
    </row>
    <row r="492" spans="1:29">
      <c r="A492" s="96">
        <v>301348</v>
      </c>
      <c r="B492" s="1286" t="s">
        <v>19</v>
      </c>
      <c r="C492" s="645" t="s">
        <v>569</v>
      </c>
      <c r="D492" s="1375"/>
      <c r="E492" s="1299">
        <v>1.046</v>
      </c>
      <c r="F492" s="1398"/>
      <c r="G492" s="1397"/>
      <c r="H492" s="1396"/>
      <c r="I492" s="1372"/>
      <c r="K492" s="1293">
        <v>0</v>
      </c>
      <c r="L492" s="1294">
        <v>0</v>
      </c>
      <c r="N492" s="983">
        <f t="shared" si="9"/>
        <v>0</v>
      </c>
      <c r="Z492" s="334"/>
      <c r="AA492" s="334"/>
      <c r="AC492" s="195"/>
    </row>
    <row r="493" spans="1:29">
      <c r="A493" s="96">
        <v>301354</v>
      </c>
      <c r="B493" s="1286" t="s">
        <v>22</v>
      </c>
      <c r="C493" s="645" t="s">
        <v>1196</v>
      </c>
      <c r="D493" s="1375"/>
      <c r="E493" s="1299">
        <v>2.3239999999999998</v>
      </c>
      <c r="F493" s="1398"/>
      <c r="G493" s="1397"/>
      <c r="H493" s="1396"/>
      <c r="I493" s="1372"/>
      <c r="K493" s="1293">
        <v>1</v>
      </c>
      <c r="L493" s="1294">
        <v>0</v>
      </c>
      <c r="N493" s="983">
        <f t="shared" si="9"/>
        <v>0</v>
      </c>
      <c r="Z493" s="334"/>
      <c r="AA493" s="334"/>
      <c r="AC493" s="195"/>
    </row>
    <row r="494" spans="1:29">
      <c r="A494" s="96">
        <v>301355</v>
      </c>
      <c r="B494" s="1286" t="s">
        <v>20</v>
      </c>
      <c r="C494" s="645" t="s">
        <v>1205</v>
      </c>
      <c r="D494" s="1375"/>
      <c r="E494" s="1299">
        <v>0.753</v>
      </c>
      <c r="F494" s="1398"/>
      <c r="G494" s="1397"/>
      <c r="H494" s="1396"/>
      <c r="I494" s="1372"/>
      <c r="K494" s="1293">
        <v>1</v>
      </c>
      <c r="L494" s="1294">
        <v>0</v>
      </c>
      <c r="N494" s="983">
        <f t="shared" si="9"/>
        <v>0</v>
      </c>
      <c r="Z494" s="334"/>
      <c r="AA494" s="334"/>
      <c r="AC494" s="195"/>
    </row>
    <row r="495" spans="1:29">
      <c r="A495" s="96">
        <v>301356</v>
      </c>
      <c r="B495" s="1286" t="s">
        <v>831</v>
      </c>
      <c r="C495" s="645" t="s">
        <v>1196</v>
      </c>
      <c r="D495" s="1375"/>
      <c r="E495" s="1299">
        <v>1.32</v>
      </c>
      <c r="F495" s="1398"/>
      <c r="G495" s="1397"/>
      <c r="H495" s="1396"/>
      <c r="I495" s="1372"/>
      <c r="K495" s="1293">
        <v>1</v>
      </c>
      <c r="L495" s="1294">
        <v>0</v>
      </c>
      <c r="N495" s="983">
        <f t="shared" si="9"/>
        <v>0</v>
      </c>
      <c r="Z495" s="334"/>
      <c r="AA495" s="334"/>
      <c r="AC495" s="195"/>
    </row>
    <row r="496" spans="1:29">
      <c r="A496" s="96">
        <v>301360</v>
      </c>
      <c r="B496" s="1286" t="s">
        <v>189</v>
      </c>
      <c r="C496" s="645" t="s">
        <v>569</v>
      </c>
      <c r="D496" s="1375"/>
      <c r="E496" s="1299">
        <v>0.6</v>
      </c>
      <c r="F496" s="1398"/>
      <c r="G496" s="1397"/>
      <c r="H496" s="1396"/>
      <c r="I496" s="1372"/>
      <c r="K496" s="1293">
        <v>0</v>
      </c>
      <c r="L496" s="1294">
        <v>0</v>
      </c>
      <c r="N496" s="983">
        <f t="shared" si="9"/>
        <v>0</v>
      </c>
      <c r="T496" s="195"/>
      <c r="U496" s="992"/>
      <c r="V496" s="992"/>
      <c r="W496" s="992"/>
      <c r="X496" s="992"/>
      <c r="Y496" s="993"/>
      <c r="Z496" s="334"/>
      <c r="AA496" s="334"/>
      <c r="AC496" s="195"/>
    </row>
    <row r="497" spans="1:29">
      <c r="A497" s="96">
        <v>301361</v>
      </c>
      <c r="B497" s="1286" t="s">
        <v>49</v>
      </c>
      <c r="C497" s="645" t="s">
        <v>569</v>
      </c>
      <c r="D497" s="1375"/>
      <c r="E497" s="1299">
        <v>0.56999999999999995</v>
      </c>
      <c r="F497" s="1398"/>
      <c r="G497" s="1397"/>
      <c r="H497" s="1396"/>
      <c r="I497" s="1372"/>
      <c r="K497" s="1293">
        <v>0</v>
      </c>
      <c r="L497" s="1294">
        <v>0</v>
      </c>
      <c r="N497" s="983">
        <f t="shared" si="9"/>
        <v>0</v>
      </c>
      <c r="T497" s="195"/>
      <c r="U497" s="992"/>
      <c r="V497" s="992"/>
      <c r="W497" s="992"/>
      <c r="X497" s="992"/>
      <c r="Y497" s="993"/>
      <c r="Z497" s="334"/>
      <c r="AA497" s="334"/>
      <c r="AC497" s="195"/>
    </row>
    <row r="498" spans="1:29">
      <c r="A498" s="96">
        <v>301364</v>
      </c>
      <c r="B498" s="1286" t="s">
        <v>21</v>
      </c>
      <c r="C498" s="645" t="s">
        <v>1196</v>
      </c>
      <c r="D498" s="1375"/>
      <c r="E498" s="1299">
        <v>2.069</v>
      </c>
      <c r="F498" s="1398"/>
      <c r="G498" s="1397"/>
      <c r="H498" s="1396"/>
      <c r="I498" s="1372"/>
      <c r="K498" s="1293">
        <v>1</v>
      </c>
      <c r="L498" s="1294">
        <v>0</v>
      </c>
      <c r="N498" s="983">
        <f t="shared" si="9"/>
        <v>0</v>
      </c>
      <c r="T498" s="195"/>
      <c r="U498" s="992"/>
      <c r="V498" s="992"/>
      <c r="W498" s="992"/>
      <c r="X498" s="992"/>
      <c r="Y498" s="993"/>
      <c r="Z498" s="334"/>
      <c r="AA498" s="334"/>
      <c r="AC498" s="195"/>
    </row>
    <row r="499" spans="1:29">
      <c r="A499" s="96">
        <v>301365</v>
      </c>
      <c r="B499" s="1286" t="s">
        <v>256</v>
      </c>
      <c r="C499" s="645" t="s">
        <v>1205</v>
      </c>
      <c r="D499" s="1375"/>
      <c r="E499" s="1299">
        <v>1.23</v>
      </c>
      <c r="F499" s="1398"/>
      <c r="G499" s="1397"/>
      <c r="H499" s="1396"/>
      <c r="I499" s="1372"/>
      <c r="K499" s="1293">
        <v>1</v>
      </c>
      <c r="L499" s="1294">
        <v>0</v>
      </c>
      <c r="N499" s="983">
        <f t="shared" si="9"/>
        <v>0</v>
      </c>
      <c r="T499" s="195"/>
      <c r="U499" s="992"/>
      <c r="V499" s="992"/>
      <c r="W499" s="992"/>
      <c r="X499" s="992"/>
      <c r="Y499" s="993"/>
      <c r="Z499" s="334"/>
      <c r="AA499" s="334"/>
      <c r="AB499" s="993"/>
      <c r="AC499" s="195"/>
    </row>
    <row r="500" spans="1:29">
      <c r="A500" s="96">
        <v>301366</v>
      </c>
      <c r="B500" s="1286" t="s">
        <v>257</v>
      </c>
      <c r="C500" s="645" t="s">
        <v>1205</v>
      </c>
      <c r="D500" s="1375"/>
      <c r="E500" s="1299">
        <v>1.23</v>
      </c>
      <c r="F500" s="1398"/>
      <c r="G500" s="1397"/>
      <c r="H500" s="1396"/>
      <c r="I500" s="1372"/>
      <c r="K500" s="1293">
        <v>1</v>
      </c>
      <c r="L500" s="1294">
        <v>0</v>
      </c>
      <c r="N500" s="983">
        <f t="shared" si="9"/>
        <v>0</v>
      </c>
      <c r="T500" s="195"/>
      <c r="U500" s="992"/>
      <c r="V500" s="992"/>
      <c r="W500" s="992"/>
      <c r="X500" s="992"/>
      <c r="Y500" s="993"/>
      <c r="Z500" s="334"/>
      <c r="AA500" s="334"/>
      <c r="AB500" s="993"/>
      <c r="AC500" s="195"/>
    </row>
    <row r="501" spans="1:29">
      <c r="A501" s="96">
        <v>301368</v>
      </c>
      <c r="B501" s="1286" t="s">
        <v>832</v>
      </c>
      <c r="C501" s="645" t="s">
        <v>568</v>
      </c>
      <c r="D501" s="1375"/>
      <c r="E501" s="1299">
        <v>1.8380000000000001</v>
      </c>
      <c r="F501" s="1398"/>
      <c r="G501" s="1397"/>
      <c r="H501" s="1396"/>
      <c r="I501" s="1372"/>
      <c r="K501" s="1293">
        <v>0</v>
      </c>
      <c r="L501" s="1294">
        <v>0</v>
      </c>
      <c r="N501" s="983">
        <f t="shared" si="9"/>
        <v>0</v>
      </c>
      <c r="T501" s="195"/>
      <c r="U501" s="992"/>
      <c r="V501" s="992"/>
      <c r="W501" s="992"/>
      <c r="X501" s="992"/>
      <c r="Y501" s="993"/>
      <c r="Z501" s="334"/>
      <c r="AA501" s="334"/>
      <c r="AB501" s="993"/>
      <c r="AC501" s="195"/>
    </row>
    <row r="502" spans="1:29">
      <c r="A502" s="96">
        <v>301369</v>
      </c>
      <c r="B502" s="1286" t="s">
        <v>23</v>
      </c>
      <c r="C502" s="645" t="s">
        <v>1196</v>
      </c>
      <c r="D502" s="1375"/>
      <c r="E502" s="1299">
        <v>0.34699999999999998</v>
      </c>
      <c r="F502" s="1398"/>
      <c r="G502" s="1397"/>
      <c r="H502" s="1396"/>
      <c r="I502" s="1372"/>
      <c r="K502" s="1293">
        <v>1</v>
      </c>
      <c r="L502" s="1294">
        <v>0</v>
      </c>
      <c r="N502" s="983">
        <f t="shared" si="9"/>
        <v>0</v>
      </c>
      <c r="T502" s="195"/>
      <c r="U502" s="992"/>
      <c r="V502" s="992"/>
      <c r="W502" s="992"/>
      <c r="X502" s="992"/>
      <c r="Y502" s="993"/>
      <c r="Z502" s="334"/>
      <c r="AA502" s="334"/>
      <c r="AB502" s="993"/>
      <c r="AC502" s="195"/>
    </row>
    <row r="503" spans="1:29">
      <c r="A503" s="96">
        <v>301374</v>
      </c>
      <c r="B503" s="1286" t="s">
        <v>833</v>
      </c>
      <c r="C503" s="645" t="s">
        <v>1205</v>
      </c>
      <c r="D503" s="1375"/>
      <c r="E503" s="1299">
        <v>1.32</v>
      </c>
      <c r="F503" s="1398"/>
      <c r="G503" s="1397"/>
      <c r="H503" s="1396"/>
      <c r="I503" s="1372"/>
      <c r="K503" s="1293">
        <v>1</v>
      </c>
      <c r="L503" s="1294">
        <v>0</v>
      </c>
      <c r="N503" s="983">
        <f t="shared" si="9"/>
        <v>0</v>
      </c>
      <c r="T503" s="195"/>
      <c r="U503" s="992"/>
      <c r="V503" s="992"/>
      <c r="W503" s="992"/>
      <c r="X503" s="992"/>
      <c r="Y503" s="993"/>
      <c r="Z503" s="334"/>
      <c r="AA503" s="334"/>
      <c r="AB503" s="993"/>
      <c r="AC503" s="195"/>
    </row>
    <row r="504" spans="1:29">
      <c r="A504" s="96">
        <v>301377</v>
      </c>
      <c r="B504" s="1286" t="s">
        <v>193</v>
      </c>
      <c r="C504" s="645" t="s">
        <v>1196</v>
      </c>
      <c r="D504" s="1375"/>
      <c r="E504" s="1299">
        <v>1.23</v>
      </c>
      <c r="F504" s="1398"/>
      <c r="G504" s="1397"/>
      <c r="H504" s="1396"/>
      <c r="I504" s="1372"/>
      <c r="K504" s="1293">
        <v>1</v>
      </c>
      <c r="L504" s="1294">
        <v>0</v>
      </c>
      <c r="N504" s="983">
        <f t="shared" si="9"/>
        <v>0</v>
      </c>
      <c r="T504" s="195"/>
      <c r="U504" s="992"/>
      <c r="V504" s="992"/>
      <c r="W504" s="992"/>
      <c r="X504" s="992"/>
      <c r="Y504" s="993"/>
      <c r="Z504" s="334"/>
      <c r="AA504" s="334"/>
      <c r="AB504" s="993"/>
      <c r="AC504" s="195"/>
    </row>
    <row r="505" spans="1:29">
      <c r="A505" s="96">
        <v>301385</v>
      </c>
      <c r="B505" s="1286" t="s">
        <v>834</v>
      </c>
      <c r="C505" s="645" t="s">
        <v>1195</v>
      </c>
      <c r="D505" s="1375"/>
      <c r="E505" s="1299">
        <v>2.0819999999999999</v>
      </c>
      <c r="F505" s="1398"/>
      <c r="G505" s="1397"/>
      <c r="H505" s="1396"/>
      <c r="I505" s="1372"/>
      <c r="K505" s="1293">
        <v>0</v>
      </c>
      <c r="L505" s="1294">
        <v>0</v>
      </c>
      <c r="N505" s="983">
        <f t="shared" si="9"/>
        <v>1</v>
      </c>
      <c r="T505" s="195"/>
      <c r="U505" s="992"/>
      <c r="V505" s="992"/>
      <c r="W505" s="992"/>
      <c r="X505" s="992"/>
      <c r="Y505" s="993"/>
      <c r="Z505" s="334"/>
      <c r="AA505" s="334"/>
      <c r="AB505" s="993"/>
      <c r="AC505" s="195"/>
    </row>
    <row r="506" spans="1:29">
      <c r="A506" s="96">
        <v>301389</v>
      </c>
      <c r="B506" s="1286" t="s">
        <v>835</v>
      </c>
      <c r="C506" s="645" t="s">
        <v>1205</v>
      </c>
      <c r="D506" s="1375"/>
      <c r="E506" s="1299">
        <v>1.9450000000000001</v>
      </c>
      <c r="F506" s="1398"/>
      <c r="G506" s="1397"/>
      <c r="H506" s="1396"/>
      <c r="I506" s="1372"/>
      <c r="K506" s="1293">
        <v>1</v>
      </c>
      <c r="L506" s="1294">
        <v>0</v>
      </c>
      <c r="N506" s="983">
        <f t="shared" si="9"/>
        <v>0</v>
      </c>
      <c r="T506" s="195"/>
      <c r="U506" s="992"/>
      <c r="V506" s="992"/>
      <c r="W506" s="992"/>
      <c r="X506" s="992"/>
      <c r="Y506" s="993"/>
      <c r="Z506" s="334"/>
      <c r="AA506" s="334"/>
      <c r="AB506" s="993"/>
      <c r="AC506" s="195"/>
    </row>
    <row r="507" spans="1:29">
      <c r="A507" s="96">
        <v>301390</v>
      </c>
      <c r="B507" s="1286" t="s">
        <v>836</v>
      </c>
      <c r="C507" s="645" t="s">
        <v>1196</v>
      </c>
      <c r="D507" s="1375"/>
      <c r="E507" s="1299">
        <v>1.3049999999999999</v>
      </c>
      <c r="F507" s="1398"/>
      <c r="G507" s="1397"/>
      <c r="H507" s="1396"/>
      <c r="I507" s="1372"/>
      <c r="K507" s="1293">
        <v>1</v>
      </c>
      <c r="L507" s="1294">
        <v>0</v>
      </c>
      <c r="N507" s="983">
        <f t="shared" si="9"/>
        <v>0</v>
      </c>
      <c r="T507" s="195"/>
      <c r="U507" s="992"/>
      <c r="V507" s="992"/>
      <c r="W507" s="992"/>
      <c r="X507" s="992"/>
      <c r="Y507" s="993"/>
      <c r="Z507" s="334"/>
      <c r="AA507" s="334"/>
      <c r="AB507" s="993"/>
      <c r="AC507" s="195"/>
    </row>
    <row r="508" spans="1:29">
      <c r="A508" s="96">
        <v>301391</v>
      </c>
      <c r="B508" s="1286" t="s">
        <v>658</v>
      </c>
      <c r="C508" s="645" t="s">
        <v>569</v>
      </c>
      <c r="D508" s="1375"/>
      <c r="E508" s="1299">
        <v>0.56999999999999995</v>
      </c>
      <c r="F508" s="1398"/>
      <c r="G508" s="1397"/>
      <c r="H508" s="1396"/>
      <c r="I508" s="1372"/>
      <c r="K508" s="1293">
        <v>0</v>
      </c>
      <c r="L508" s="1294">
        <v>0</v>
      </c>
      <c r="N508" s="983">
        <f t="shared" si="9"/>
        <v>0</v>
      </c>
      <c r="T508" s="195"/>
      <c r="U508" s="992"/>
      <c r="V508" s="992"/>
      <c r="W508" s="992"/>
      <c r="X508" s="992"/>
      <c r="Y508" s="993"/>
      <c r="Z508" s="334"/>
      <c r="AA508" s="334"/>
      <c r="AB508" s="993"/>
      <c r="AC508" s="195"/>
    </row>
    <row r="509" spans="1:29">
      <c r="A509" s="96">
        <v>301395</v>
      </c>
      <c r="B509" s="1286" t="s">
        <v>2</v>
      </c>
      <c r="C509" s="645" t="s">
        <v>1196</v>
      </c>
      <c r="D509" s="1375"/>
      <c r="E509" s="1299">
        <v>2.8069999999999999</v>
      </c>
      <c r="F509" s="1398"/>
      <c r="G509" s="1397"/>
      <c r="H509" s="1396"/>
      <c r="I509" s="1372"/>
      <c r="K509" s="1293">
        <v>1</v>
      </c>
      <c r="L509" s="1294">
        <v>0</v>
      </c>
      <c r="N509" s="983">
        <f t="shared" si="9"/>
        <v>0</v>
      </c>
      <c r="T509" s="195"/>
      <c r="U509" s="992"/>
      <c r="V509" s="992"/>
      <c r="W509" s="992"/>
      <c r="X509" s="992"/>
      <c r="Y509" s="993"/>
      <c r="Z509" s="334"/>
      <c r="AA509" s="334"/>
      <c r="AB509" s="993"/>
      <c r="AC509" s="195"/>
    </row>
    <row r="510" spans="1:29">
      <c r="A510" s="96">
        <v>301396</v>
      </c>
      <c r="B510" s="1286" t="s">
        <v>194</v>
      </c>
      <c r="C510" s="645" t="s">
        <v>1196</v>
      </c>
      <c r="D510" s="1375"/>
      <c r="E510" s="1299">
        <v>0.93</v>
      </c>
      <c r="F510" s="1398"/>
      <c r="G510" s="1397"/>
      <c r="H510" s="1396"/>
      <c r="I510" s="1372"/>
      <c r="K510" s="1293">
        <v>1</v>
      </c>
      <c r="L510" s="1294">
        <v>0</v>
      </c>
      <c r="N510" s="983">
        <f t="shared" si="9"/>
        <v>0</v>
      </c>
      <c r="T510" s="195"/>
      <c r="U510" s="992"/>
      <c r="V510" s="992"/>
      <c r="W510" s="992"/>
      <c r="X510" s="992"/>
      <c r="Y510" s="993"/>
      <c r="Z510" s="334"/>
      <c r="AA510" s="334"/>
      <c r="AB510" s="993"/>
      <c r="AC510" s="195"/>
    </row>
    <row r="511" spans="1:29">
      <c r="A511" s="96">
        <v>301397</v>
      </c>
      <c r="B511" s="1286" t="s">
        <v>190</v>
      </c>
      <c r="C511" s="645" t="s">
        <v>569</v>
      </c>
      <c r="D511" s="1375"/>
      <c r="E511" s="1299">
        <v>1.018</v>
      </c>
      <c r="F511" s="1398"/>
      <c r="G511" s="1397"/>
      <c r="H511" s="1396"/>
      <c r="I511" s="1372"/>
      <c r="K511" s="1293">
        <v>0</v>
      </c>
      <c r="L511" s="1294">
        <v>0</v>
      </c>
      <c r="N511" s="983">
        <f t="shared" si="9"/>
        <v>0</v>
      </c>
      <c r="T511" s="195"/>
      <c r="U511" s="992"/>
      <c r="V511" s="992"/>
      <c r="W511" s="992"/>
      <c r="X511" s="992"/>
      <c r="Y511" s="993"/>
      <c r="Z511" s="334"/>
      <c r="AA511" s="334"/>
      <c r="AB511" s="993"/>
      <c r="AC511" s="195"/>
    </row>
    <row r="512" spans="1:29">
      <c r="A512" s="96">
        <v>301400</v>
      </c>
      <c r="B512" s="1286" t="s">
        <v>191</v>
      </c>
      <c r="C512" s="645" t="s">
        <v>569</v>
      </c>
      <c r="D512" s="1375"/>
      <c r="E512" s="1299">
        <v>0.6</v>
      </c>
      <c r="F512" s="1398"/>
      <c r="G512" s="1397"/>
      <c r="H512" s="1396"/>
      <c r="I512" s="1372"/>
      <c r="K512" s="1293">
        <v>0</v>
      </c>
      <c r="L512" s="1294">
        <v>0</v>
      </c>
      <c r="N512" s="983">
        <f t="shared" si="9"/>
        <v>0</v>
      </c>
      <c r="T512" s="195"/>
      <c r="U512" s="992"/>
      <c r="V512" s="992"/>
      <c r="W512" s="992"/>
      <c r="X512" s="992"/>
      <c r="Y512" s="993"/>
      <c r="Z512" s="334"/>
      <c r="AA512" s="334"/>
      <c r="AB512" s="993"/>
    </row>
    <row r="513" spans="1:28">
      <c r="A513" s="96">
        <v>301401</v>
      </c>
      <c r="B513" s="1286" t="s">
        <v>534</v>
      </c>
      <c r="C513" s="645" t="s">
        <v>569</v>
      </c>
      <c r="D513" s="1375"/>
      <c r="E513" s="1299">
        <v>0.6</v>
      </c>
      <c r="F513" s="1398"/>
      <c r="G513" s="1397"/>
      <c r="H513" s="1396"/>
      <c r="I513" s="1372"/>
      <c r="K513" s="1293">
        <v>0</v>
      </c>
      <c r="L513" s="1294">
        <v>0</v>
      </c>
      <c r="N513" s="983">
        <f t="shared" si="9"/>
        <v>0</v>
      </c>
      <c r="T513" s="195"/>
      <c r="U513" s="992"/>
      <c r="V513" s="992"/>
      <c r="W513" s="992"/>
      <c r="X513" s="992"/>
      <c r="Y513" s="993"/>
      <c r="Z513" s="334"/>
      <c r="AA513" s="334"/>
      <c r="AB513" s="993"/>
    </row>
    <row r="514" spans="1:28">
      <c r="A514" s="96">
        <v>301418</v>
      </c>
      <c r="B514" s="1286" t="s">
        <v>195</v>
      </c>
      <c r="C514" s="645" t="s">
        <v>1195</v>
      </c>
      <c r="D514" s="1375"/>
      <c r="E514" s="1299">
        <v>1.8049999999999999</v>
      </c>
      <c r="F514" s="1398"/>
      <c r="G514" s="1397"/>
      <c r="H514" s="1396"/>
      <c r="I514" s="1372"/>
      <c r="K514" s="1293">
        <v>0</v>
      </c>
      <c r="L514" s="1294">
        <v>0</v>
      </c>
      <c r="N514" s="983">
        <f t="shared" si="9"/>
        <v>1</v>
      </c>
      <c r="T514" s="195"/>
      <c r="U514" s="992"/>
      <c r="V514" s="992"/>
      <c r="W514" s="992"/>
      <c r="X514" s="992"/>
      <c r="Y514" s="993"/>
      <c r="Z514" s="334"/>
      <c r="AA514" s="334"/>
      <c r="AB514" s="993"/>
    </row>
    <row r="515" spans="1:28">
      <c r="A515" s="96">
        <v>301420</v>
      </c>
      <c r="B515" s="1286" t="s">
        <v>196</v>
      </c>
      <c r="C515" s="645" t="s">
        <v>1195</v>
      </c>
      <c r="D515" s="1375"/>
      <c r="E515" s="1299">
        <v>1.8560000000000001</v>
      </c>
      <c r="F515" s="1398"/>
      <c r="G515" s="1397"/>
      <c r="H515" s="1396"/>
      <c r="I515" s="1372"/>
      <c r="K515" s="1293">
        <v>0</v>
      </c>
      <c r="L515" s="1294">
        <v>0</v>
      </c>
      <c r="N515" s="983">
        <f t="shared" si="9"/>
        <v>1</v>
      </c>
      <c r="T515" s="195"/>
      <c r="U515" s="992"/>
      <c r="V515" s="992"/>
      <c r="W515" s="992"/>
      <c r="X515" s="992"/>
      <c r="Y515" s="993"/>
      <c r="Z515" s="334"/>
      <c r="AA515" s="334"/>
      <c r="AB515" s="993"/>
    </row>
    <row r="516" spans="1:28">
      <c r="A516" s="96">
        <v>301421</v>
      </c>
      <c r="B516" s="1286" t="s">
        <v>197</v>
      </c>
      <c r="C516" s="645" t="s">
        <v>1195</v>
      </c>
      <c r="D516" s="1375"/>
      <c r="E516" s="1299">
        <v>1.8560000000000001</v>
      </c>
      <c r="F516" s="1398"/>
      <c r="G516" s="1397"/>
      <c r="H516" s="1396"/>
      <c r="I516" s="1372"/>
      <c r="K516" s="1293">
        <v>0</v>
      </c>
      <c r="L516" s="1294">
        <v>0</v>
      </c>
      <c r="N516" s="983">
        <f t="shared" si="9"/>
        <v>1</v>
      </c>
      <c r="T516" s="195"/>
      <c r="U516" s="992"/>
      <c r="V516" s="992"/>
      <c r="W516" s="992"/>
      <c r="X516" s="992"/>
      <c r="Y516" s="993"/>
      <c r="Z516" s="334"/>
      <c r="AA516" s="334"/>
      <c r="AB516" s="993"/>
    </row>
    <row r="517" spans="1:28">
      <c r="A517" s="96">
        <v>301427</v>
      </c>
      <c r="B517" s="1286" t="s">
        <v>198</v>
      </c>
      <c r="C517" s="645" t="s">
        <v>1196</v>
      </c>
      <c r="D517" s="1375"/>
      <c r="E517" s="1299">
        <v>1.32</v>
      </c>
      <c r="F517" s="1398"/>
      <c r="G517" s="1397"/>
      <c r="H517" s="1396"/>
      <c r="I517" s="1372"/>
      <c r="K517" s="1293">
        <v>1</v>
      </c>
      <c r="L517" s="1294">
        <v>0</v>
      </c>
      <c r="N517" s="983">
        <f t="shared" si="9"/>
        <v>0</v>
      </c>
      <c r="Z517" s="334"/>
      <c r="AA517" s="334"/>
      <c r="AB517" s="993"/>
    </row>
    <row r="518" spans="1:28">
      <c r="A518" s="96">
        <v>301429</v>
      </c>
      <c r="B518" s="1286" t="s">
        <v>175</v>
      </c>
      <c r="C518" s="645" t="s">
        <v>1196</v>
      </c>
      <c r="D518" s="1375"/>
      <c r="E518" s="1299">
        <v>1.8280000000000001</v>
      </c>
      <c r="F518" s="1398"/>
      <c r="G518" s="1397"/>
      <c r="H518" s="1396"/>
      <c r="I518" s="1372"/>
      <c r="K518" s="1293">
        <v>1</v>
      </c>
      <c r="L518" s="1294">
        <v>0</v>
      </c>
      <c r="N518" s="983">
        <f t="shared" si="9"/>
        <v>0</v>
      </c>
      <c r="Z518" s="334"/>
      <c r="AA518" s="334"/>
      <c r="AB518" s="993"/>
    </row>
    <row r="519" spans="1:28">
      <c r="A519" s="96">
        <v>301431</v>
      </c>
      <c r="B519" s="1286" t="s">
        <v>199</v>
      </c>
      <c r="C519" s="645" t="s">
        <v>1196</v>
      </c>
      <c r="D519" s="1375"/>
      <c r="E519" s="1299">
        <v>1.407</v>
      </c>
      <c r="F519" s="1398"/>
      <c r="G519" s="1397"/>
      <c r="H519" s="1396"/>
      <c r="I519" s="1372"/>
      <c r="K519" s="1293">
        <v>1</v>
      </c>
      <c r="L519" s="1294">
        <v>0</v>
      </c>
      <c r="N519" s="983">
        <f t="shared" si="9"/>
        <v>0</v>
      </c>
      <c r="Z519" s="334"/>
      <c r="AA519" s="334"/>
      <c r="AB519" s="993"/>
    </row>
    <row r="520" spans="1:28">
      <c r="A520" s="96">
        <v>301432</v>
      </c>
      <c r="B520" s="1286" t="s">
        <v>537</v>
      </c>
      <c r="C520" s="645" t="s">
        <v>1195</v>
      </c>
      <c r="D520" s="1375"/>
      <c r="E520" s="1299">
        <v>2.3130000000000002</v>
      </c>
      <c r="F520" s="1398"/>
      <c r="G520" s="1397"/>
      <c r="H520" s="1396"/>
      <c r="I520" s="1372"/>
      <c r="K520" s="1293">
        <v>0</v>
      </c>
      <c r="L520" s="1294">
        <v>0</v>
      </c>
      <c r="N520" s="983">
        <f t="shared" si="9"/>
        <v>1</v>
      </c>
      <c r="Z520" s="334"/>
      <c r="AA520" s="334"/>
    </row>
    <row r="521" spans="1:28">
      <c r="A521" s="96">
        <v>301433</v>
      </c>
      <c r="B521" s="1286" t="s">
        <v>538</v>
      </c>
      <c r="C521" s="645" t="s">
        <v>1195</v>
      </c>
      <c r="D521" s="1375"/>
      <c r="E521" s="1299">
        <v>1.8560000000000001</v>
      </c>
      <c r="F521" s="1398"/>
      <c r="G521" s="1397"/>
      <c r="H521" s="1396"/>
      <c r="I521" s="1372"/>
      <c r="K521" s="1293">
        <v>0</v>
      </c>
      <c r="L521" s="1294">
        <v>0</v>
      </c>
      <c r="N521" s="983">
        <f t="shared" si="9"/>
        <v>1</v>
      </c>
      <c r="Z521" s="334"/>
      <c r="AA521" s="334"/>
    </row>
    <row r="522" spans="1:28">
      <c r="A522" s="96">
        <v>301434</v>
      </c>
      <c r="B522" s="1286" t="s">
        <v>333</v>
      </c>
      <c r="C522" s="645" t="s">
        <v>1195</v>
      </c>
      <c r="D522" s="1375"/>
      <c r="E522" s="1299">
        <v>1.9610000000000001</v>
      </c>
      <c r="F522" s="1398"/>
      <c r="G522" s="1397"/>
      <c r="H522" s="1396"/>
      <c r="I522" s="1372"/>
      <c r="K522" s="1293">
        <v>0</v>
      </c>
      <c r="L522" s="1294">
        <v>0</v>
      </c>
      <c r="N522" s="983">
        <f t="shared" ref="N522:N560" si="10">IF(C522="local distribution point",1,0)</f>
        <v>1</v>
      </c>
      <c r="Z522" s="334"/>
      <c r="AA522" s="334"/>
    </row>
    <row r="523" spans="1:28">
      <c r="A523" s="96">
        <v>301435</v>
      </c>
      <c r="B523" s="1286" t="s">
        <v>539</v>
      </c>
      <c r="C523" s="645" t="s">
        <v>1195</v>
      </c>
      <c r="D523" s="1375"/>
      <c r="E523" s="1299">
        <v>2.2480000000000002</v>
      </c>
      <c r="F523" s="1398"/>
      <c r="G523" s="1397"/>
      <c r="H523" s="1396"/>
      <c r="I523" s="1372"/>
      <c r="K523" s="1293">
        <v>0</v>
      </c>
      <c r="L523" s="1294">
        <v>0</v>
      </c>
      <c r="N523" s="983">
        <f t="shared" si="10"/>
        <v>1</v>
      </c>
      <c r="Z523" s="334"/>
      <c r="AA523" s="334"/>
    </row>
    <row r="524" spans="1:28">
      <c r="A524" s="96">
        <v>301436</v>
      </c>
      <c r="B524" s="1286" t="s">
        <v>540</v>
      </c>
      <c r="C524" s="645" t="s">
        <v>1195</v>
      </c>
      <c r="D524" s="1375"/>
      <c r="E524" s="1299">
        <v>2.198</v>
      </c>
      <c r="F524" s="1398"/>
      <c r="G524" s="1397"/>
      <c r="H524" s="1396"/>
      <c r="I524" s="1372"/>
      <c r="K524" s="1293">
        <v>0</v>
      </c>
      <c r="L524" s="1294">
        <v>0</v>
      </c>
      <c r="N524" s="983">
        <f t="shared" si="10"/>
        <v>1</v>
      </c>
      <c r="Z524" s="334"/>
      <c r="AA524" s="334"/>
    </row>
    <row r="525" spans="1:28">
      <c r="A525" s="96">
        <v>301437</v>
      </c>
      <c r="B525" s="1286" t="s">
        <v>541</v>
      </c>
      <c r="C525" s="645" t="s">
        <v>1195</v>
      </c>
      <c r="D525" s="1375"/>
      <c r="E525" s="1299">
        <v>2.1309999999999998</v>
      </c>
      <c r="F525" s="1398"/>
      <c r="G525" s="1397"/>
      <c r="H525" s="1396"/>
      <c r="I525" s="1372"/>
      <c r="K525" s="1293">
        <v>0</v>
      </c>
      <c r="L525" s="1294">
        <v>0</v>
      </c>
      <c r="N525" s="983">
        <f t="shared" si="10"/>
        <v>1</v>
      </c>
      <c r="Z525" s="334"/>
      <c r="AA525" s="334"/>
    </row>
    <row r="526" spans="1:28">
      <c r="A526" s="96">
        <v>301438</v>
      </c>
      <c r="B526" s="1286" t="s">
        <v>542</v>
      </c>
      <c r="C526" s="645" t="s">
        <v>1195</v>
      </c>
      <c r="D526" s="1375"/>
      <c r="E526" s="1299">
        <v>0.85199999999999998</v>
      </c>
      <c r="F526" s="1398"/>
      <c r="G526" s="1397"/>
      <c r="H526" s="1396"/>
      <c r="I526" s="1372"/>
      <c r="K526" s="1293">
        <v>0</v>
      </c>
      <c r="L526" s="1294">
        <v>0</v>
      </c>
      <c r="N526" s="983">
        <f t="shared" si="10"/>
        <v>1</v>
      </c>
      <c r="Z526" s="334"/>
      <c r="AA526" s="334"/>
    </row>
    <row r="527" spans="1:28">
      <c r="A527" s="96">
        <v>301439</v>
      </c>
      <c r="B527" s="1286" t="s">
        <v>543</v>
      </c>
      <c r="C527" s="645" t="s">
        <v>1195</v>
      </c>
      <c r="D527" s="1375"/>
      <c r="E527" s="1299">
        <v>2.0230000000000001</v>
      </c>
      <c r="F527" s="1398"/>
      <c r="G527" s="1397"/>
      <c r="H527" s="1396"/>
      <c r="I527" s="1372"/>
      <c r="K527" s="1293">
        <v>0</v>
      </c>
      <c r="L527" s="1294">
        <v>0</v>
      </c>
      <c r="N527" s="983">
        <f t="shared" si="10"/>
        <v>1</v>
      </c>
      <c r="Z527" s="334"/>
      <c r="AA527" s="334"/>
    </row>
    <row r="528" spans="1:28">
      <c r="A528" s="96">
        <v>301441</v>
      </c>
      <c r="B528" s="1286" t="s">
        <v>3</v>
      </c>
      <c r="C528" s="645" t="s">
        <v>1196</v>
      </c>
      <c r="D528" s="1375"/>
      <c r="E528" s="1299">
        <v>1.2569999999999999</v>
      </c>
      <c r="F528" s="1398"/>
      <c r="G528" s="1397"/>
      <c r="H528" s="1396"/>
      <c r="I528" s="1372"/>
      <c r="K528" s="1293">
        <v>1</v>
      </c>
      <c r="L528" s="1294">
        <v>0</v>
      </c>
      <c r="N528" s="983">
        <f t="shared" si="10"/>
        <v>0</v>
      </c>
      <c r="Z528" s="334"/>
      <c r="AA528" s="334"/>
    </row>
    <row r="529" spans="1:27">
      <c r="A529" s="96">
        <v>301442</v>
      </c>
      <c r="B529" s="1286" t="s">
        <v>837</v>
      </c>
      <c r="C529" s="645" t="s">
        <v>1196</v>
      </c>
      <c r="D529" s="1375"/>
      <c r="E529" s="1299">
        <v>1.2569999999999999</v>
      </c>
      <c r="F529" s="1398"/>
      <c r="G529" s="1397"/>
      <c r="H529" s="1396"/>
      <c r="I529" s="1372"/>
      <c r="K529" s="1293">
        <v>1</v>
      </c>
      <c r="L529" s="1294">
        <v>0</v>
      </c>
      <c r="N529" s="983">
        <f t="shared" si="10"/>
        <v>0</v>
      </c>
      <c r="Z529" s="334"/>
      <c r="AA529" s="334"/>
    </row>
    <row r="530" spans="1:27">
      <c r="A530" s="96">
        <v>301443</v>
      </c>
      <c r="B530" s="1286" t="s">
        <v>4</v>
      </c>
      <c r="C530" s="645" t="s">
        <v>1196</v>
      </c>
      <c r="D530" s="1375"/>
      <c r="E530" s="1299">
        <v>1.2569999999999999</v>
      </c>
      <c r="F530" s="1398"/>
      <c r="G530" s="1397"/>
      <c r="H530" s="1396"/>
      <c r="I530" s="1372"/>
      <c r="K530" s="1293">
        <v>1</v>
      </c>
      <c r="L530" s="1294">
        <v>0</v>
      </c>
      <c r="N530" s="983">
        <f t="shared" si="10"/>
        <v>0</v>
      </c>
      <c r="Z530" s="334"/>
      <c r="AA530" s="334"/>
    </row>
    <row r="531" spans="1:27">
      <c r="A531" s="96">
        <v>301445</v>
      </c>
      <c r="B531" s="1286" t="s">
        <v>200</v>
      </c>
      <c r="C531" s="645" t="s">
        <v>1196</v>
      </c>
      <c r="D531" s="1375"/>
      <c r="E531" s="1299">
        <v>2.6749999999999998</v>
      </c>
      <c r="F531" s="1398"/>
      <c r="G531" s="1397"/>
      <c r="H531" s="1396"/>
      <c r="I531" s="1372"/>
      <c r="K531" s="1293">
        <v>1</v>
      </c>
      <c r="L531" s="1294">
        <v>0</v>
      </c>
      <c r="N531" s="983">
        <f t="shared" si="10"/>
        <v>0</v>
      </c>
      <c r="Z531" s="334"/>
      <c r="AA531" s="334"/>
    </row>
    <row r="532" spans="1:27">
      <c r="A532" s="96">
        <v>301446</v>
      </c>
      <c r="B532" s="1286" t="s">
        <v>258</v>
      </c>
      <c r="C532" s="645" t="s">
        <v>1205</v>
      </c>
      <c r="D532" s="1375"/>
      <c r="E532" s="1299">
        <v>1.1459999999999999</v>
      </c>
      <c r="F532" s="1398"/>
      <c r="G532" s="1397"/>
      <c r="H532" s="1396"/>
      <c r="I532" s="1372"/>
      <c r="K532" s="1293">
        <v>1</v>
      </c>
      <c r="L532" s="1294">
        <v>0</v>
      </c>
      <c r="N532" s="983">
        <f t="shared" si="10"/>
        <v>0</v>
      </c>
      <c r="Z532" s="334"/>
      <c r="AA532" s="334"/>
    </row>
    <row r="533" spans="1:27">
      <c r="A533" s="96">
        <v>301450</v>
      </c>
      <c r="B533" s="1286" t="s">
        <v>544</v>
      </c>
      <c r="C533" s="645" t="s">
        <v>1196</v>
      </c>
      <c r="D533" s="1375"/>
      <c r="E533" s="1299">
        <v>2.1960000000000002</v>
      </c>
      <c r="F533" s="1398"/>
      <c r="G533" s="1397"/>
      <c r="H533" s="1396"/>
      <c r="I533" s="1372"/>
      <c r="K533" s="1293">
        <v>1</v>
      </c>
      <c r="L533" s="1294">
        <v>0</v>
      </c>
      <c r="N533" s="983">
        <f t="shared" si="10"/>
        <v>0</v>
      </c>
      <c r="Z533" s="334"/>
      <c r="AA533" s="334"/>
    </row>
    <row r="534" spans="1:27">
      <c r="A534" s="96">
        <v>301451</v>
      </c>
      <c r="B534" s="1286" t="s">
        <v>545</v>
      </c>
      <c r="C534" s="645" t="s">
        <v>1196</v>
      </c>
      <c r="D534" s="1375"/>
      <c r="E534" s="1299">
        <v>1.0269999999999999</v>
      </c>
      <c r="F534" s="1398"/>
      <c r="G534" s="1397"/>
      <c r="H534" s="1396"/>
      <c r="I534" s="1372"/>
      <c r="K534" s="1293">
        <v>1</v>
      </c>
      <c r="L534" s="1294">
        <v>0</v>
      </c>
      <c r="N534" s="983">
        <f t="shared" si="10"/>
        <v>0</v>
      </c>
      <c r="Z534" s="334"/>
      <c r="AA534" s="334"/>
    </row>
    <row r="535" spans="1:27">
      <c r="A535" s="96">
        <v>301453</v>
      </c>
      <c r="B535" s="1286" t="s">
        <v>546</v>
      </c>
      <c r="C535" s="645" t="s">
        <v>569</v>
      </c>
      <c r="D535" s="1375"/>
      <c r="E535" s="1299">
        <v>0.56999999999999995</v>
      </c>
      <c r="F535" s="1398"/>
      <c r="G535" s="1397"/>
      <c r="H535" s="1396"/>
      <c r="I535" s="1372"/>
      <c r="K535" s="1293">
        <v>0</v>
      </c>
      <c r="L535" s="1294">
        <v>0</v>
      </c>
      <c r="N535" s="983">
        <f t="shared" si="10"/>
        <v>0</v>
      </c>
      <c r="Z535" s="334"/>
      <c r="AA535" s="334"/>
    </row>
    <row r="536" spans="1:27">
      <c r="A536" s="96">
        <v>301455</v>
      </c>
      <c r="B536" s="1286" t="s">
        <v>643</v>
      </c>
      <c r="C536" s="645" t="s">
        <v>1195</v>
      </c>
      <c r="D536" s="1375"/>
      <c r="E536" s="1299">
        <v>3.508</v>
      </c>
      <c r="F536" s="1398"/>
      <c r="G536" s="1397"/>
      <c r="H536" s="1396"/>
      <c r="I536" s="1372"/>
      <c r="K536" s="1293">
        <v>0</v>
      </c>
      <c r="L536" s="1294">
        <v>0</v>
      </c>
      <c r="N536" s="983">
        <f t="shared" si="10"/>
        <v>1</v>
      </c>
      <c r="Z536" s="334"/>
      <c r="AA536" s="334"/>
    </row>
    <row r="537" spans="1:27">
      <c r="A537" s="96">
        <v>301456</v>
      </c>
      <c r="B537" s="1286" t="s">
        <v>644</v>
      </c>
      <c r="C537" s="645" t="s">
        <v>1195</v>
      </c>
      <c r="D537" s="1375"/>
      <c r="E537" s="1299">
        <v>2.4350000000000001</v>
      </c>
      <c r="F537" s="1398"/>
      <c r="G537" s="1397"/>
      <c r="H537" s="1396"/>
      <c r="I537" s="1372"/>
      <c r="K537" s="1293">
        <v>0</v>
      </c>
      <c r="L537" s="1294">
        <v>0</v>
      </c>
      <c r="N537" s="983">
        <f t="shared" si="10"/>
        <v>1</v>
      </c>
      <c r="Z537" s="334"/>
      <c r="AA537" s="334"/>
    </row>
    <row r="538" spans="1:27">
      <c r="A538" s="96">
        <v>301457</v>
      </c>
      <c r="B538" s="1286" t="s">
        <v>645</v>
      </c>
      <c r="C538" s="645" t="s">
        <v>1195</v>
      </c>
      <c r="D538" s="1375"/>
      <c r="E538" s="1299">
        <v>2.0470000000000002</v>
      </c>
      <c r="F538" s="1398"/>
      <c r="G538" s="1397"/>
      <c r="H538" s="1396"/>
      <c r="I538" s="1372"/>
      <c r="K538" s="1293">
        <v>0</v>
      </c>
      <c r="L538" s="1294">
        <v>0</v>
      </c>
      <c r="N538" s="983">
        <f t="shared" si="10"/>
        <v>1</v>
      </c>
      <c r="Z538" s="334"/>
      <c r="AA538" s="334"/>
    </row>
    <row r="539" spans="1:27">
      <c r="A539" s="96">
        <v>301460</v>
      </c>
      <c r="B539" s="1286" t="s">
        <v>415</v>
      </c>
      <c r="C539" s="645" t="s">
        <v>1205</v>
      </c>
      <c r="D539" s="1375"/>
      <c r="E539" s="1299">
        <v>1.23</v>
      </c>
      <c r="F539" s="1398"/>
      <c r="G539" s="1397"/>
      <c r="H539" s="1396"/>
      <c r="I539" s="1372"/>
      <c r="K539" s="1293">
        <v>1</v>
      </c>
      <c r="L539" s="1294">
        <v>0</v>
      </c>
      <c r="N539" s="983">
        <f t="shared" si="10"/>
        <v>0</v>
      </c>
      <c r="Z539" s="334"/>
      <c r="AA539" s="334"/>
    </row>
    <row r="540" spans="1:27">
      <c r="A540" s="96">
        <v>301461</v>
      </c>
      <c r="B540" s="1286" t="s">
        <v>1159</v>
      </c>
      <c r="C540" s="645" t="s">
        <v>570</v>
      </c>
      <c r="D540" s="1375"/>
      <c r="E540" s="1299"/>
      <c r="F540" s="1398"/>
      <c r="G540" s="1397"/>
      <c r="H540" s="1396"/>
      <c r="I540" s="1372"/>
      <c r="K540" s="1293">
        <v>0</v>
      </c>
      <c r="L540" s="1294">
        <v>0</v>
      </c>
      <c r="N540" s="983">
        <f t="shared" si="10"/>
        <v>0</v>
      </c>
      <c r="Z540" s="334"/>
      <c r="AA540" s="334"/>
    </row>
    <row r="541" spans="1:27">
      <c r="A541" s="96">
        <v>301464</v>
      </c>
      <c r="B541" s="1286" t="s">
        <v>838</v>
      </c>
      <c r="C541" s="645" t="s">
        <v>1195</v>
      </c>
      <c r="D541" s="1375"/>
      <c r="E541" s="1299">
        <v>1.917</v>
      </c>
      <c r="F541" s="1398"/>
      <c r="G541" s="1397"/>
      <c r="H541" s="1396"/>
      <c r="I541" s="1372"/>
      <c r="K541" s="1293">
        <v>0</v>
      </c>
      <c r="L541" s="1294">
        <v>0</v>
      </c>
      <c r="N541" s="983">
        <f t="shared" si="10"/>
        <v>1</v>
      </c>
      <c r="Z541" s="334"/>
      <c r="AA541" s="334"/>
    </row>
    <row r="542" spans="1:27">
      <c r="A542" s="96">
        <v>301465</v>
      </c>
      <c r="B542" s="1286" t="s">
        <v>839</v>
      </c>
      <c r="C542" s="645" t="s">
        <v>1195</v>
      </c>
      <c r="D542" s="1375"/>
      <c r="E542" s="1299">
        <v>1.9996549660313145</v>
      </c>
      <c r="F542" s="1398"/>
      <c r="G542" s="1397"/>
      <c r="H542" s="1396"/>
      <c r="I542" s="1372"/>
      <c r="K542" s="1293">
        <v>0</v>
      </c>
      <c r="L542" s="1294">
        <v>0</v>
      </c>
      <c r="N542" s="983">
        <f t="shared" si="10"/>
        <v>1</v>
      </c>
      <c r="Z542" s="334"/>
      <c r="AA542" s="334"/>
    </row>
    <row r="543" spans="1:27">
      <c r="A543" s="96">
        <v>301466</v>
      </c>
      <c r="B543" s="1286" t="s">
        <v>840</v>
      </c>
      <c r="C543" s="645" t="s">
        <v>1195</v>
      </c>
      <c r="D543" s="1375"/>
      <c r="E543" s="1299">
        <v>2.2307604812354627</v>
      </c>
      <c r="F543" s="1398"/>
      <c r="G543" s="1397"/>
      <c r="H543" s="1396"/>
      <c r="I543" s="1372"/>
      <c r="K543" s="1293">
        <v>0</v>
      </c>
      <c r="L543" s="1294">
        <v>0</v>
      </c>
      <c r="N543" s="983">
        <f t="shared" si="10"/>
        <v>1</v>
      </c>
      <c r="Z543" s="334"/>
      <c r="AA543" s="334"/>
    </row>
    <row r="544" spans="1:27">
      <c r="A544" s="96">
        <v>301467</v>
      </c>
      <c r="B544" s="1286" t="s">
        <v>841</v>
      </c>
      <c r="C544" s="645" t="s">
        <v>1195</v>
      </c>
      <c r="D544" s="1375"/>
      <c r="E544" s="1299">
        <v>2.2378089219136101</v>
      </c>
      <c r="F544" s="1398"/>
      <c r="G544" s="1397"/>
      <c r="H544" s="1396"/>
      <c r="I544" s="1372"/>
      <c r="K544" s="1293">
        <v>0</v>
      </c>
      <c r="L544" s="1294">
        <v>0</v>
      </c>
      <c r="N544" s="983">
        <f t="shared" si="10"/>
        <v>1</v>
      </c>
      <c r="Z544" s="334"/>
      <c r="AA544" s="334"/>
    </row>
    <row r="545" spans="1:27">
      <c r="A545" s="96">
        <v>301470</v>
      </c>
      <c r="B545" s="1286" t="s">
        <v>408</v>
      </c>
      <c r="C545" s="645" t="s">
        <v>1205</v>
      </c>
      <c r="D545" s="1375"/>
      <c r="E545" s="1299">
        <v>1.32</v>
      </c>
      <c r="F545" s="1398"/>
      <c r="G545" s="1397"/>
      <c r="H545" s="1396"/>
      <c r="I545" s="1372"/>
      <c r="K545" s="1293">
        <v>1</v>
      </c>
      <c r="L545" s="1294">
        <v>0</v>
      </c>
      <c r="N545" s="983">
        <f t="shared" si="10"/>
        <v>0</v>
      </c>
      <c r="Z545" s="334"/>
      <c r="AA545" s="334"/>
    </row>
    <row r="546" spans="1:27">
      <c r="A546" s="96">
        <v>301471</v>
      </c>
      <c r="B546" s="1286" t="s">
        <v>1207</v>
      </c>
      <c r="C546" s="645" t="s">
        <v>1195</v>
      </c>
      <c r="D546" s="1375"/>
      <c r="E546" s="1299">
        <v>1.64925627970817</v>
      </c>
      <c r="F546" s="1398"/>
      <c r="G546" s="1397"/>
      <c r="H546" s="1396"/>
      <c r="I546" s="1372"/>
      <c r="K546" s="1293">
        <v>0</v>
      </c>
      <c r="L546" s="1294">
        <v>0</v>
      </c>
      <c r="N546" s="983">
        <f t="shared" si="10"/>
        <v>1</v>
      </c>
      <c r="Z546" s="334"/>
      <c r="AA546" s="334"/>
    </row>
    <row r="547" spans="1:27">
      <c r="A547" s="96">
        <v>301472</v>
      </c>
      <c r="B547" s="1286" t="s">
        <v>1208</v>
      </c>
      <c r="C547" s="645" t="s">
        <v>1195</v>
      </c>
      <c r="D547" s="1375"/>
      <c r="E547" s="1299">
        <v>2.0104288245575392</v>
      </c>
      <c r="F547" s="1398"/>
      <c r="G547" s="1397"/>
      <c r="H547" s="1396"/>
      <c r="I547" s="1372"/>
      <c r="K547" s="1293">
        <v>0</v>
      </c>
      <c r="L547" s="1294">
        <v>0</v>
      </c>
      <c r="N547" s="983">
        <f t="shared" si="10"/>
        <v>1</v>
      </c>
      <c r="Z547" s="334"/>
      <c r="AA547" s="334"/>
    </row>
    <row r="548" spans="1:27">
      <c r="A548" s="96">
        <v>301473</v>
      </c>
      <c r="B548" s="1286" t="s">
        <v>1209</v>
      </c>
      <c r="C548" s="645" t="s">
        <v>1195</v>
      </c>
      <c r="D548" s="1375"/>
      <c r="E548" s="1299">
        <v>1.5120616108722587</v>
      </c>
      <c r="F548" s="1398"/>
      <c r="G548" s="1397"/>
      <c r="H548" s="1396"/>
      <c r="I548" s="1372"/>
      <c r="K548" s="1293">
        <v>0</v>
      </c>
      <c r="L548" s="1294">
        <v>0</v>
      </c>
      <c r="N548" s="983">
        <f t="shared" si="10"/>
        <v>1</v>
      </c>
      <c r="Z548" s="334"/>
      <c r="AA548" s="334"/>
    </row>
    <row r="549" spans="1:27">
      <c r="A549" s="96">
        <v>301474</v>
      </c>
      <c r="B549" s="1286" t="s">
        <v>1210</v>
      </c>
      <c r="C549" s="645" t="s">
        <v>1195</v>
      </c>
      <c r="D549" s="1375"/>
      <c r="E549" s="1299">
        <v>0.35900000000000004</v>
      </c>
      <c r="F549" s="1398"/>
      <c r="G549" s="1397"/>
      <c r="H549" s="1396"/>
      <c r="I549" s="1372"/>
      <c r="K549" s="1293">
        <v>0</v>
      </c>
      <c r="L549" s="1294">
        <v>0</v>
      </c>
      <c r="N549" s="983">
        <f t="shared" si="10"/>
        <v>1</v>
      </c>
      <c r="Z549" s="334"/>
      <c r="AA549" s="334"/>
    </row>
    <row r="550" spans="1:27">
      <c r="A550" s="96">
        <v>301475</v>
      </c>
      <c r="B550" s="1286" t="s">
        <v>1211</v>
      </c>
      <c r="C550" s="645" t="s">
        <v>1195</v>
      </c>
      <c r="D550" s="1375"/>
      <c r="E550" s="1299">
        <v>1.1595000685654901</v>
      </c>
      <c r="F550" s="1398"/>
      <c r="G550" s="1397"/>
      <c r="H550" s="1396"/>
      <c r="I550" s="1372"/>
      <c r="K550" s="1293">
        <v>0</v>
      </c>
      <c r="L550" s="1294">
        <v>0</v>
      </c>
      <c r="N550" s="983">
        <f t="shared" si="10"/>
        <v>1</v>
      </c>
      <c r="Z550" s="334"/>
      <c r="AA550" s="334"/>
    </row>
    <row r="551" spans="1:27">
      <c r="A551" s="96">
        <v>301476</v>
      </c>
      <c r="B551" s="1286" t="s">
        <v>1212</v>
      </c>
      <c r="C551" s="645" t="s">
        <v>1195</v>
      </c>
      <c r="D551" s="1375"/>
      <c r="E551" s="1299">
        <v>1.1519999999999999</v>
      </c>
      <c r="F551" s="1398"/>
      <c r="G551" s="1397"/>
      <c r="H551" s="1396"/>
      <c r="I551" s="1372"/>
      <c r="K551" s="1293">
        <v>0</v>
      </c>
      <c r="L551" s="1294">
        <v>0</v>
      </c>
      <c r="N551" s="983">
        <f t="shared" si="10"/>
        <v>1</v>
      </c>
      <c r="Z551" s="334"/>
      <c r="AA551" s="334"/>
    </row>
    <row r="552" spans="1:27">
      <c r="A552" s="96">
        <v>301477</v>
      </c>
      <c r="B552" s="1286" t="s">
        <v>1213</v>
      </c>
      <c r="C552" s="645" t="s">
        <v>1195</v>
      </c>
      <c r="D552" s="1375"/>
      <c r="E552" s="1299">
        <v>1.1519999999999999</v>
      </c>
      <c r="F552" s="1398"/>
      <c r="G552" s="1397"/>
      <c r="H552" s="1396"/>
      <c r="I552" s="1372"/>
      <c r="K552" s="1293">
        <v>0</v>
      </c>
      <c r="L552" s="1294">
        <v>0</v>
      </c>
      <c r="N552" s="983">
        <f t="shared" si="10"/>
        <v>1</v>
      </c>
      <c r="Z552" s="334"/>
      <c r="AA552" s="334"/>
    </row>
    <row r="553" spans="1:27">
      <c r="A553" s="96">
        <v>301478</v>
      </c>
      <c r="B553" s="1286" t="s">
        <v>1214</v>
      </c>
      <c r="C553" s="645" t="s">
        <v>1195</v>
      </c>
      <c r="D553" s="1375"/>
      <c r="E553" s="1299">
        <v>1.204</v>
      </c>
      <c r="F553" s="1398"/>
      <c r="G553" s="1397"/>
      <c r="H553" s="1396"/>
      <c r="I553" s="1372"/>
      <c r="K553" s="1293">
        <v>0</v>
      </c>
      <c r="L553" s="1294">
        <v>0</v>
      </c>
      <c r="N553" s="983">
        <f t="shared" si="10"/>
        <v>1</v>
      </c>
      <c r="Z553" s="334"/>
      <c r="AA553" s="334"/>
    </row>
    <row r="554" spans="1:27">
      <c r="A554" s="96">
        <v>301479</v>
      </c>
      <c r="B554" s="1286" t="s">
        <v>1215</v>
      </c>
      <c r="C554" s="645" t="s">
        <v>1195</v>
      </c>
      <c r="D554" s="1375"/>
      <c r="E554" s="1299">
        <v>1.1839999999999999</v>
      </c>
      <c r="F554" s="1398"/>
      <c r="G554" s="1397"/>
      <c r="H554" s="1396"/>
      <c r="I554" s="1372"/>
      <c r="K554" s="1293">
        <v>0</v>
      </c>
      <c r="L554" s="1294">
        <v>0</v>
      </c>
      <c r="N554" s="983">
        <f t="shared" si="10"/>
        <v>1</v>
      </c>
      <c r="Z554" s="334"/>
      <c r="AA554" s="334"/>
    </row>
    <row r="555" spans="1:27">
      <c r="A555" s="96">
        <v>301480</v>
      </c>
      <c r="B555" s="1286" t="s">
        <v>1216</v>
      </c>
      <c r="C555" s="645" t="s">
        <v>1195</v>
      </c>
      <c r="D555" s="1375"/>
      <c r="E555" s="1299">
        <v>1.3440000000000001</v>
      </c>
      <c r="F555" s="1398"/>
      <c r="G555" s="1397"/>
      <c r="H555" s="1396"/>
      <c r="I555" s="1372"/>
      <c r="K555" s="1293">
        <v>0</v>
      </c>
      <c r="L555" s="1294">
        <v>0</v>
      </c>
      <c r="N555" s="983">
        <f t="shared" si="10"/>
        <v>1</v>
      </c>
      <c r="Z555" s="334"/>
      <c r="AA555" s="334"/>
    </row>
    <row r="556" spans="1:27">
      <c r="A556" s="96">
        <v>301481</v>
      </c>
      <c r="B556" s="1286" t="s">
        <v>1217</v>
      </c>
      <c r="C556" s="645" t="s">
        <v>1195</v>
      </c>
      <c r="D556" s="1375"/>
      <c r="E556" s="1299">
        <v>0.95099999999999996</v>
      </c>
      <c r="F556" s="1398"/>
      <c r="G556" s="1397"/>
      <c r="H556" s="1396"/>
      <c r="I556" s="1372"/>
      <c r="K556" s="1293">
        <v>0</v>
      </c>
      <c r="L556" s="1294">
        <v>0</v>
      </c>
      <c r="N556" s="983">
        <f t="shared" si="10"/>
        <v>1</v>
      </c>
      <c r="Z556" s="334"/>
      <c r="AA556" s="334"/>
    </row>
    <row r="557" spans="1:27">
      <c r="A557" s="96">
        <v>301482</v>
      </c>
      <c r="B557" s="1286" t="s">
        <v>1218</v>
      </c>
      <c r="C557" s="645" t="s">
        <v>1195</v>
      </c>
      <c r="D557" s="1375"/>
      <c r="E557" s="1299">
        <v>1.145</v>
      </c>
      <c r="F557" s="1398"/>
      <c r="G557" s="1397"/>
      <c r="H557" s="1396"/>
      <c r="I557" s="1372"/>
      <c r="K557" s="1293">
        <v>0</v>
      </c>
      <c r="L557" s="1294">
        <v>0</v>
      </c>
      <c r="N557" s="983">
        <f t="shared" si="10"/>
        <v>1</v>
      </c>
      <c r="Z557" s="334"/>
      <c r="AA557" s="334"/>
    </row>
    <row r="558" spans="1:27">
      <c r="A558" s="96">
        <v>301483</v>
      </c>
      <c r="B558" s="1286" t="s">
        <v>1219</v>
      </c>
      <c r="C558" s="645" t="s">
        <v>1195</v>
      </c>
      <c r="D558" s="1375"/>
      <c r="E558" s="1299">
        <v>1.204</v>
      </c>
      <c r="F558" s="1398"/>
      <c r="G558" s="1397"/>
      <c r="H558" s="1396"/>
      <c r="I558" s="1372"/>
      <c r="K558" s="1293">
        <v>0</v>
      </c>
      <c r="L558" s="1294">
        <v>0</v>
      </c>
      <c r="N558" s="983">
        <f t="shared" si="10"/>
        <v>1</v>
      </c>
      <c r="Z558" s="334"/>
      <c r="AA558" s="334"/>
    </row>
    <row r="559" spans="1:27">
      <c r="A559" s="96">
        <v>301484</v>
      </c>
      <c r="B559" s="1286" t="s">
        <v>1220</v>
      </c>
      <c r="C559" s="645" t="s">
        <v>1195</v>
      </c>
      <c r="D559" s="1375"/>
      <c r="E559" s="1299">
        <v>1.052</v>
      </c>
      <c r="F559" s="1398"/>
      <c r="G559" s="1397"/>
      <c r="H559" s="1396"/>
      <c r="I559" s="1372"/>
      <c r="K559" s="1293">
        <v>0</v>
      </c>
      <c r="L559" s="1294">
        <v>0</v>
      </c>
      <c r="N559" s="983">
        <f t="shared" si="10"/>
        <v>1</v>
      </c>
      <c r="Z559" s="334"/>
      <c r="AA559" s="334"/>
    </row>
    <row r="560" spans="1:27">
      <c r="A560" s="96">
        <v>301485</v>
      </c>
      <c r="B560" s="1286" t="s">
        <v>1221</v>
      </c>
      <c r="C560" s="645" t="s">
        <v>1195</v>
      </c>
      <c r="D560" s="1375"/>
      <c r="E560" s="1299">
        <v>1.3440000000000001</v>
      </c>
      <c r="F560" s="1398"/>
      <c r="G560" s="1397"/>
      <c r="H560" s="1396"/>
      <c r="I560" s="1372"/>
      <c r="K560" s="1293">
        <v>0</v>
      </c>
      <c r="L560" s="1294">
        <v>0</v>
      </c>
      <c r="N560" s="983">
        <f t="shared" si="10"/>
        <v>1</v>
      </c>
      <c r="Z560" s="334"/>
      <c r="AA560" s="334"/>
    </row>
    <row r="561" spans="1:27">
      <c r="A561" s="201"/>
      <c r="B561" s="201"/>
      <c r="C561" s="539"/>
      <c r="D561" s="239"/>
      <c r="E561" s="201"/>
      <c r="F561" s="468"/>
      <c r="G561" s="210"/>
      <c r="H561" s="984"/>
      <c r="I561" s="210"/>
      <c r="J561" s="467"/>
      <c r="K561" s="206"/>
      <c r="L561" s="206"/>
      <c r="M561" s="467"/>
      <c r="N561" s="467"/>
      <c r="Z561" s="334"/>
      <c r="AA561" s="334"/>
    </row>
    <row r="562" spans="1:27">
      <c r="A562" s="126"/>
      <c r="B562" s="126"/>
      <c r="C562" s="539"/>
      <c r="D562" s="212"/>
      <c r="E562" s="201"/>
      <c r="F562" s="126"/>
      <c r="G562" s="238"/>
      <c r="H562" s="238"/>
      <c r="I562" s="238"/>
      <c r="J562" s="189"/>
      <c r="K562" s="189"/>
      <c r="L562" s="189"/>
      <c r="M562" s="189"/>
      <c r="N562" s="189"/>
      <c r="Z562" s="334"/>
      <c r="AA562" s="334"/>
    </row>
    <row r="563" spans="1:27">
      <c r="C563" s="539"/>
      <c r="E563" s="201"/>
      <c r="G563" s="206"/>
      <c r="H563" s="206"/>
      <c r="I563" s="206"/>
      <c r="K563" s="188"/>
      <c r="L563" s="188"/>
      <c r="N563" s="188"/>
      <c r="Z563" s="334"/>
      <c r="AA563" s="334"/>
    </row>
    <row r="564" spans="1:27">
      <c r="C564" s="539"/>
      <c r="E564" s="201"/>
      <c r="Z564" s="334"/>
      <c r="AA564" s="334"/>
    </row>
    <row r="565" spans="1:27">
      <c r="C565" s="539"/>
      <c r="E565" s="201"/>
      <c r="Z565" s="334"/>
      <c r="AA565" s="334"/>
    </row>
    <row r="566" spans="1:27">
      <c r="C566" s="539"/>
      <c r="E566" s="201"/>
      <c r="Z566" s="334"/>
      <c r="AA566" s="334"/>
    </row>
    <row r="567" spans="1:27">
      <c r="C567" s="539"/>
      <c r="E567" s="201"/>
      <c r="Z567" s="334"/>
      <c r="AA567" s="334"/>
    </row>
    <row r="568" spans="1:27">
      <c r="C568" s="539"/>
      <c r="E568" s="201"/>
      <c r="Z568" s="334"/>
      <c r="AA568" s="334"/>
    </row>
    <row r="569" spans="1:27">
      <c r="C569" s="539"/>
      <c r="E569" s="201"/>
      <c r="Z569" s="334"/>
      <c r="AA569" s="334"/>
    </row>
    <row r="570" spans="1:27">
      <c r="C570" s="539"/>
      <c r="E570" s="201"/>
      <c r="Z570" s="334"/>
      <c r="AA570" s="334"/>
    </row>
    <row r="571" spans="1:27">
      <c r="C571" s="539"/>
      <c r="E571" s="201"/>
      <c r="Z571" s="334"/>
      <c r="AA571" s="334"/>
    </row>
    <row r="572" spans="1:27">
      <c r="C572" s="539"/>
      <c r="E572" s="201"/>
      <c r="Z572" s="334"/>
      <c r="AA572" s="334"/>
    </row>
    <row r="573" spans="1:27">
      <c r="C573" s="539"/>
      <c r="E573" s="201"/>
      <c r="Z573" s="334"/>
      <c r="AA573" s="334"/>
    </row>
    <row r="574" spans="1:27">
      <c r="E574" s="201"/>
      <c r="Z574" s="334"/>
      <c r="AA574" s="334"/>
    </row>
    <row r="575" spans="1:27">
      <c r="E575" s="201"/>
      <c r="Z575" s="334"/>
      <c r="AA575" s="334"/>
    </row>
    <row r="576" spans="1:27">
      <c r="E576" s="201"/>
      <c r="Z576" s="334"/>
      <c r="AA576" s="334"/>
    </row>
    <row r="577" spans="5:27">
      <c r="E577" s="201"/>
      <c r="Z577" s="334"/>
      <c r="AA577" s="334"/>
    </row>
    <row r="578" spans="5:27">
      <c r="E578" s="201"/>
      <c r="Z578" s="334"/>
      <c r="AA578" s="334"/>
    </row>
    <row r="579" spans="5:27">
      <c r="E579" s="201"/>
      <c r="Z579" s="334"/>
      <c r="AA579" s="334"/>
    </row>
    <row r="580" spans="5:27">
      <c r="E580" s="201"/>
      <c r="Z580" s="334"/>
      <c r="AA580" s="334"/>
    </row>
    <row r="581" spans="5:27">
      <c r="E581" s="201"/>
      <c r="Z581" s="334"/>
      <c r="AA581" s="334"/>
    </row>
    <row r="582" spans="5:27">
      <c r="E582" s="201"/>
      <c r="Z582" s="334"/>
      <c r="AA582" s="334"/>
    </row>
    <row r="583" spans="5:27">
      <c r="E583" s="201"/>
      <c r="Z583" s="334"/>
      <c r="AA583" s="334"/>
    </row>
    <row r="584" spans="5:27">
      <c r="E584" s="1287"/>
      <c r="Z584" s="334"/>
      <c r="AA584" s="334"/>
    </row>
    <row r="585" spans="5:27">
      <c r="E585" s="1287"/>
      <c r="Z585" s="334"/>
      <c r="AA585" s="334"/>
    </row>
    <row r="586" spans="5:27">
      <c r="E586" s="1287"/>
      <c r="Z586" s="334"/>
      <c r="AA586" s="334"/>
    </row>
    <row r="587" spans="5:27">
      <c r="E587" s="1287"/>
      <c r="Z587" s="334"/>
      <c r="AA587" s="334"/>
    </row>
    <row r="588" spans="5:27">
      <c r="E588" s="1287"/>
      <c r="Z588" s="334"/>
      <c r="AA588" s="334"/>
    </row>
    <row r="589" spans="5:27">
      <c r="E589" s="1287"/>
      <c r="Z589" s="334"/>
      <c r="AA589" s="334"/>
    </row>
    <row r="590" spans="5:27">
      <c r="E590" s="1287"/>
      <c r="Z590" s="334"/>
      <c r="AA590" s="334"/>
    </row>
    <row r="591" spans="5:27">
      <c r="Z591" s="334"/>
      <c r="AA591" s="334"/>
    </row>
    <row r="592" spans="5:27">
      <c r="Z592" s="334"/>
      <c r="AA592" s="334"/>
    </row>
    <row r="593" spans="26:27">
      <c r="Z593" s="334"/>
      <c r="AA593" s="334"/>
    </row>
    <row r="594" spans="26:27">
      <c r="Z594" s="334"/>
      <c r="AA594" s="334"/>
    </row>
    <row r="595" spans="26:27">
      <c r="Z595" s="334"/>
      <c r="AA595" s="334"/>
    </row>
    <row r="596" spans="26:27">
      <c r="Z596" s="334"/>
      <c r="AA596" s="334"/>
    </row>
    <row r="597" spans="26:27">
      <c r="Z597" s="334"/>
      <c r="AA597" s="334"/>
    </row>
    <row r="598" spans="26:27">
      <c r="Z598" s="334"/>
      <c r="AA598" s="334"/>
    </row>
    <row r="599" spans="26:27">
      <c r="Z599" s="334"/>
      <c r="AA599" s="334"/>
    </row>
    <row r="600" spans="26:27">
      <c r="Z600" s="334"/>
      <c r="AA600" s="334"/>
    </row>
    <row r="601" spans="26:27">
      <c r="Z601" s="334"/>
      <c r="AA601" s="334"/>
    </row>
    <row r="602" spans="26:27">
      <c r="Z602" s="334"/>
      <c r="AA602" s="334"/>
    </row>
    <row r="603" spans="26:27">
      <c r="Z603" s="334"/>
      <c r="AA603" s="334"/>
    </row>
    <row r="604" spans="26:27">
      <c r="Z604" s="334"/>
      <c r="AA604" s="334"/>
    </row>
    <row r="605" spans="26:27">
      <c r="Z605" s="334"/>
      <c r="AA605" s="334"/>
    </row>
    <row r="606" spans="26:27">
      <c r="Z606" s="334"/>
      <c r="AA606" s="334"/>
    </row>
    <row r="607" spans="26:27">
      <c r="Z607" s="334"/>
      <c r="AA607" s="334"/>
    </row>
    <row r="608" spans="26:27">
      <c r="Z608" s="334"/>
      <c r="AA608" s="334"/>
    </row>
    <row r="609" spans="26:27">
      <c r="Z609" s="334"/>
      <c r="AA609" s="334"/>
    </row>
    <row r="610" spans="26:27">
      <c r="Z610" s="334"/>
      <c r="AA610" s="334"/>
    </row>
    <row r="611" spans="26:27">
      <c r="Z611" s="334"/>
      <c r="AA611" s="334"/>
    </row>
    <row r="612" spans="26:27">
      <c r="Z612" s="334"/>
      <c r="AA612" s="334"/>
    </row>
    <row r="613" spans="26:27">
      <c r="Z613" s="334"/>
      <c r="AA613" s="334"/>
    </row>
    <row r="614" spans="26:27">
      <c r="Z614" s="334"/>
      <c r="AA614" s="334"/>
    </row>
    <row r="615" spans="26:27">
      <c r="Z615" s="334"/>
      <c r="AA615" s="334"/>
    </row>
    <row r="616" spans="26:27">
      <c r="Z616" s="334"/>
      <c r="AA616" s="334"/>
    </row>
    <row r="617" spans="26:27">
      <c r="Z617" s="334"/>
      <c r="AA617" s="334"/>
    </row>
    <row r="618" spans="26:27">
      <c r="Z618" s="334"/>
      <c r="AA618" s="334"/>
    </row>
    <row r="619" spans="26:27">
      <c r="Z619" s="334"/>
      <c r="AA619" s="334"/>
    </row>
    <row r="620" spans="26:27">
      <c r="Z620" s="334"/>
      <c r="AA620" s="334"/>
    </row>
    <row r="621" spans="26:27">
      <c r="Z621" s="334"/>
      <c r="AA621" s="334"/>
    </row>
    <row r="622" spans="26:27">
      <c r="Z622" s="334"/>
      <c r="AA622" s="334"/>
    </row>
    <row r="623" spans="26:27">
      <c r="Z623" s="334"/>
      <c r="AA623" s="334"/>
    </row>
    <row r="624" spans="26:27">
      <c r="Z624" s="334"/>
      <c r="AA624" s="334"/>
    </row>
    <row r="625" spans="15:33">
      <c r="Z625" s="334"/>
      <c r="AA625" s="334"/>
    </row>
    <row r="626" spans="15:33">
      <c r="Z626" s="334"/>
      <c r="AA626" s="334"/>
    </row>
    <row r="627" spans="15:33">
      <c r="Z627" s="334"/>
      <c r="AA627" s="334"/>
    </row>
    <row r="628" spans="15:33">
      <c r="Z628" s="334"/>
      <c r="AA628" s="334"/>
    </row>
    <row r="629" spans="15:33">
      <c r="O629" s="467"/>
      <c r="Z629" s="334"/>
      <c r="AA629" s="334"/>
    </row>
    <row r="630" spans="15:33">
      <c r="O630" s="189"/>
      <c r="Z630" s="334"/>
      <c r="AA630" s="334"/>
    </row>
    <row r="631" spans="15:33">
      <c r="Z631" s="334"/>
      <c r="AA631" s="334"/>
    </row>
    <row r="632" spans="15:33">
      <c r="Z632" s="334"/>
      <c r="AA632" s="334"/>
    </row>
    <row r="633" spans="15:33">
      <c r="Z633" s="334"/>
      <c r="AA633" s="334"/>
    </row>
    <row r="634" spans="15:33">
      <c r="Z634" s="334"/>
      <c r="AA634" s="334"/>
    </row>
    <row r="635" spans="15:33">
      <c r="Z635" s="334"/>
      <c r="AA635" s="334"/>
    </row>
    <row r="636" spans="15:33">
      <c r="Z636" s="334"/>
      <c r="AA636" s="334"/>
    </row>
    <row r="637" spans="15:33">
      <c r="Z637" s="334"/>
      <c r="AA637" s="334"/>
    </row>
    <row r="638" spans="15:33">
      <c r="Z638" s="334"/>
      <c r="AA638" s="334"/>
      <c r="AC638" s="201"/>
      <c r="AD638" s="201"/>
      <c r="AE638" s="201"/>
      <c r="AF638" s="201"/>
      <c r="AG638" s="201"/>
    </row>
    <row r="639" spans="15:33">
      <c r="U639" s="240"/>
      <c r="Z639" s="335"/>
      <c r="AA639" s="334"/>
      <c r="AC639" s="126"/>
      <c r="AD639" s="126"/>
      <c r="AE639" s="126"/>
      <c r="AF639" s="126"/>
      <c r="AG639" s="126"/>
    </row>
    <row r="640" spans="15:33">
      <c r="P640" s="201"/>
      <c r="Q640" s="201"/>
      <c r="S640" s="201"/>
      <c r="T640" s="201"/>
      <c r="U640" s="213"/>
      <c r="V640" s="240"/>
      <c r="W640" s="240"/>
      <c r="X640" s="240"/>
      <c r="Z640" s="336"/>
      <c r="AA640" s="334"/>
    </row>
    <row r="641" spans="1:33" ht="15">
      <c r="P641" s="126"/>
      <c r="Q641" s="126"/>
      <c r="R641" s="126"/>
      <c r="S641" s="126"/>
      <c r="T641" s="126"/>
      <c r="V641" s="213"/>
      <c r="W641" s="213"/>
      <c r="X641" s="213"/>
      <c r="Z641" s="202"/>
      <c r="AA641" s="214"/>
    </row>
    <row r="642" spans="1:33" ht="15">
      <c r="R642" s="93"/>
      <c r="Z642" s="202"/>
      <c r="AA642" s="211"/>
    </row>
    <row r="643" spans="1:33" ht="15">
      <c r="Y643" s="200"/>
      <c r="Z643" s="202"/>
      <c r="AA643" s="202"/>
    </row>
    <row r="644" spans="1:33" ht="15">
      <c r="Y644" s="189"/>
      <c r="Z644" s="202"/>
      <c r="AA644" s="202"/>
    </row>
    <row r="645" spans="1:33" ht="15">
      <c r="Z645" s="202"/>
      <c r="AA645" s="202"/>
    </row>
    <row r="646" spans="1:33" s="201" customFormat="1" ht="15">
      <c r="A646" s="93"/>
      <c r="B646" s="93"/>
      <c r="D646" s="187"/>
      <c r="E646" s="93"/>
      <c r="F646" s="93"/>
      <c r="G646" s="93"/>
      <c r="H646" s="93"/>
      <c r="I646" s="93"/>
      <c r="J646" s="188"/>
      <c r="K646" s="200"/>
      <c r="L646" s="200"/>
      <c r="M646" s="188"/>
      <c r="N646" s="200"/>
      <c r="O646" s="188"/>
      <c r="P646" s="93"/>
      <c r="Q646" s="93"/>
      <c r="S646" s="93"/>
      <c r="T646" s="93"/>
      <c r="U646" s="99"/>
      <c r="V646" s="99"/>
      <c r="W646" s="99"/>
      <c r="X646" s="99"/>
      <c r="Y646" s="188"/>
      <c r="Z646" s="202"/>
      <c r="AA646" s="202"/>
      <c r="AB646" s="200"/>
      <c r="AC646" s="93"/>
      <c r="AD646" s="93"/>
      <c r="AE646" s="93"/>
      <c r="AF646" s="93"/>
      <c r="AG646" s="93"/>
    </row>
    <row r="647" spans="1:33" s="126" customFormat="1" ht="15">
      <c r="A647" s="93"/>
      <c r="B647" s="93"/>
      <c r="C647" s="201"/>
      <c r="D647" s="187"/>
      <c r="E647" s="93"/>
      <c r="F647" s="93"/>
      <c r="G647" s="93"/>
      <c r="H647" s="93"/>
      <c r="I647" s="93"/>
      <c r="J647" s="188"/>
      <c r="K647" s="200"/>
      <c r="L647" s="200"/>
      <c r="M647" s="188"/>
      <c r="N647" s="200"/>
      <c r="O647" s="188"/>
      <c r="P647" s="93"/>
      <c r="Q647" s="93"/>
      <c r="R647" s="201"/>
      <c r="S647" s="93"/>
      <c r="T647" s="93"/>
      <c r="U647" s="99"/>
      <c r="V647" s="99"/>
      <c r="W647" s="99"/>
      <c r="X647" s="99"/>
      <c r="Y647" s="188"/>
      <c r="Z647" s="202"/>
      <c r="AA647" s="202"/>
      <c r="AB647" s="189"/>
      <c r="AC647" s="93"/>
      <c r="AD647" s="93"/>
      <c r="AE647" s="93"/>
      <c r="AF647" s="93"/>
      <c r="AG647" s="93"/>
    </row>
    <row r="648" spans="1:33" ht="15">
      <c r="Z648" s="202"/>
      <c r="AA648" s="202"/>
    </row>
    <row r="649" spans="1:33" ht="15">
      <c r="Z649" s="202"/>
      <c r="AA649" s="202"/>
    </row>
    <row r="650" spans="1:33" ht="15">
      <c r="Z650" s="202"/>
      <c r="AA650" s="202"/>
    </row>
    <row r="651" spans="1:33" ht="15">
      <c r="Z651" s="202"/>
      <c r="AA651" s="202"/>
    </row>
    <row r="652" spans="1:33" ht="15">
      <c r="Z652" s="202"/>
      <c r="AA652" s="202"/>
    </row>
    <row r="653" spans="1:33" ht="15">
      <c r="Z653" s="202"/>
      <c r="AA653" s="202"/>
    </row>
    <row r="654" spans="1:33" ht="15">
      <c r="Z654" s="202"/>
      <c r="AA654" s="202"/>
    </row>
    <row r="655" spans="1:33" ht="15">
      <c r="Z655" s="202"/>
      <c r="AA655" s="202"/>
    </row>
    <row r="656" spans="1:33" ht="15">
      <c r="Z656" s="202"/>
      <c r="AA656" s="202"/>
    </row>
    <row r="657" spans="26:27" ht="15">
      <c r="Z657" s="202"/>
      <c r="AA657" s="202"/>
    </row>
    <row r="658" spans="26:27" ht="15">
      <c r="Z658" s="202"/>
      <c r="AA658" s="202"/>
    </row>
    <row r="659" spans="26:27" ht="15">
      <c r="Z659" s="202"/>
      <c r="AA659" s="202"/>
    </row>
    <row r="660" spans="26:27" ht="15">
      <c r="Z660" s="202"/>
      <c r="AA660" s="202"/>
    </row>
    <row r="661" spans="26:27" ht="15">
      <c r="Z661" s="202"/>
      <c r="AA661" s="202"/>
    </row>
    <row r="662" spans="26:27" ht="15">
      <c r="Z662" s="202"/>
      <c r="AA662" s="202"/>
    </row>
    <row r="663" spans="26:27" ht="15">
      <c r="Z663" s="202"/>
      <c r="AA663" s="202"/>
    </row>
    <row r="664" spans="26:27" ht="15">
      <c r="Z664" s="202"/>
      <c r="AA664" s="202"/>
    </row>
    <row r="665" spans="26:27" ht="15">
      <c r="Z665" s="202"/>
      <c r="AA665" s="202"/>
    </row>
    <row r="666" spans="26:27" ht="15">
      <c r="Z666" s="202"/>
      <c r="AA666" s="202"/>
    </row>
    <row r="667" spans="26:27" ht="15">
      <c r="Z667" s="202"/>
      <c r="AA667" s="202"/>
    </row>
    <row r="668" spans="26:27" ht="15">
      <c r="Z668" s="202"/>
      <c r="AA668" s="202"/>
    </row>
    <row r="669" spans="26:27" ht="15">
      <c r="Z669" s="202"/>
      <c r="AA669" s="202"/>
    </row>
    <row r="670" spans="26:27" ht="15">
      <c r="Z670" s="202"/>
      <c r="AA670" s="202"/>
    </row>
    <row r="671" spans="26:27" ht="15">
      <c r="Z671" s="202"/>
      <c r="AA671" s="202"/>
    </row>
    <row r="672" spans="26:27" ht="15">
      <c r="Z672" s="202"/>
      <c r="AA672" s="202"/>
    </row>
    <row r="673" spans="26:27" ht="15">
      <c r="Z673" s="202"/>
      <c r="AA673" s="202"/>
    </row>
    <row r="674" spans="26:27" ht="15">
      <c r="Z674" s="202"/>
      <c r="AA674" s="202"/>
    </row>
    <row r="675" spans="26:27" ht="15">
      <c r="Z675" s="202"/>
      <c r="AA675" s="202"/>
    </row>
    <row r="676" spans="26:27" ht="15">
      <c r="Z676" s="202"/>
      <c r="AA676" s="202"/>
    </row>
    <row r="677" spans="26:27" ht="15">
      <c r="Z677" s="202"/>
      <c r="AA677" s="202"/>
    </row>
    <row r="678" spans="26:27" ht="15">
      <c r="Z678" s="202"/>
      <c r="AA678" s="202"/>
    </row>
    <row r="679" spans="26:27" ht="15">
      <c r="Z679" s="202"/>
      <c r="AA679" s="202"/>
    </row>
    <row r="680" spans="26:27" ht="15">
      <c r="Z680" s="202"/>
      <c r="AA680" s="202"/>
    </row>
    <row r="681" spans="26:27" ht="15">
      <c r="Z681" s="202"/>
      <c r="AA681" s="202"/>
    </row>
    <row r="682" spans="26:27" ht="15">
      <c r="Z682" s="202"/>
      <c r="AA682" s="202"/>
    </row>
    <row r="683" spans="26:27" ht="15">
      <c r="Z683" s="202"/>
      <c r="AA683" s="202"/>
    </row>
    <row r="684" spans="26:27" ht="15">
      <c r="Z684" s="202"/>
      <c r="AA684" s="202"/>
    </row>
    <row r="685" spans="26:27" ht="15">
      <c r="Z685" s="202"/>
      <c r="AA685" s="202"/>
    </row>
    <row r="686" spans="26:27" ht="15">
      <c r="Z686" s="202"/>
      <c r="AA686" s="202"/>
    </row>
    <row r="687" spans="26:27" ht="15">
      <c r="Z687" s="202"/>
      <c r="AA687" s="202"/>
    </row>
    <row r="688" spans="26:27" ht="15">
      <c r="Z688" s="202"/>
      <c r="AA688" s="202"/>
    </row>
    <row r="689" spans="26:27" ht="15">
      <c r="Z689" s="202"/>
      <c r="AA689" s="202"/>
    </row>
    <row r="690" spans="26:27" ht="15">
      <c r="Z690" s="202"/>
      <c r="AA690" s="202"/>
    </row>
    <row r="691" spans="26:27" ht="15">
      <c r="Z691" s="202"/>
      <c r="AA691" s="202"/>
    </row>
    <row r="692" spans="26:27" ht="15">
      <c r="Z692" s="202"/>
      <c r="AA692" s="202"/>
    </row>
    <row r="693" spans="26:27" ht="15">
      <c r="Z693" s="202"/>
      <c r="AA693" s="202"/>
    </row>
    <row r="694" spans="26:27" ht="15">
      <c r="Z694" s="202"/>
      <c r="AA694" s="202"/>
    </row>
    <row r="695" spans="26:27" ht="15">
      <c r="Z695" s="202"/>
      <c r="AA695" s="202"/>
    </row>
    <row r="696" spans="26:27" ht="15">
      <c r="Z696" s="202"/>
      <c r="AA696" s="202"/>
    </row>
    <row r="697" spans="26:27" ht="15">
      <c r="Z697" s="202"/>
      <c r="AA697" s="202"/>
    </row>
    <row r="698" spans="26:27" ht="15">
      <c r="Z698" s="202"/>
      <c r="AA698" s="202"/>
    </row>
    <row r="699" spans="26:27" ht="15">
      <c r="Z699" s="202"/>
      <c r="AA699" s="202"/>
    </row>
    <row r="700" spans="26:27" ht="15">
      <c r="Z700" s="202"/>
      <c r="AA700" s="202"/>
    </row>
    <row r="701" spans="26:27" ht="15">
      <c r="Z701" s="202"/>
      <c r="AA701" s="202"/>
    </row>
    <row r="702" spans="26:27" ht="15">
      <c r="Z702" s="202"/>
      <c r="AA702" s="202"/>
    </row>
    <row r="703" spans="26:27" ht="15">
      <c r="Z703" s="202"/>
      <c r="AA703" s="202"/>
    </row>
    <row r="704" spans="26:27" ht="15">
      <c r="Z704" s="202"/>
      <c r="AA704" s="202"/>
    </row>
    <row r="705" spans="26:27" ht="15">
      <c r="Z705" s="202"/>
      <c r="AA705" s="202"/>
    </row>
    <row r="706" spans="26:27" ht="15">
      <c r="Z706" s="202"/>
      <c r="AA706" s="202"/>
    </row>
    <row r="707" spans="26:27" ht="15">
      <c r="Z707" s="202"/>
      <c r="AA707" s="202"/>
    </row>
    <row r="708" spans="26:27" ht="15">
      <c r="Z708" s="202"/>
      <c r="AA708" s="202"/>
    </row>
    <row r="709" spans="26:27" ht="15">
      <c r="Z709" s="202"/>
      <c r="AA709" s="202"/>
    </row>
    <row r="710" spans="26:27" ht="15">
      <c r="Z710" s="202"/>
      <c r="AA710" s="202"/>
    </row>
    <row r="711" spans="26:27" ht="15">
      <c r="Z711" s="202"/>
      <c r="AA711" s="202"/>
    </row>
    <row r="712" spans="26:27" ht="15">
      <c r="Z712" s="202"/>
      <c r="AA712" s="202"/>
    </row>
    <row r="713" spans="26:27" ht="15">
      <c r="Z713" s="202"/>
      <c r="AA713" s="202"/>
    </row>
    <row r="714" spans="26:27" ht="15">
      <c r="Z714" s="202"/>
      <c r="AA714" s="202"/>
    </row>
    <row r="715" spans="26:27" ht="15">
      <c r="Z715" s="202"/>
      <c r="AA715" s="202"/>
    </row>
    <row r="716" spans="26:27" ht="15">
      <c r="Z716" s="202"/>
      <c r="AA716" s="202"/>
    </row>
    <row r="717" spans="26:27" ht="15">
      <c r="Z717" s="202"/>
      <c r="AA717" s="202"/>
    </row>
    <row r="718" spans="26:27" ht="15">
      <c r="Z718" s="202"/>
      <c r="AA718" s="202"/>
    </row>
    <row r="719" spans="26:27" ht="15">
      <c r="Z719" s="202"/>
      <c r="AA719" s="202"/>
    </row>
    <row r="720" spans="26:27" ht="15">
      <c r="Z720" s="202"/>
      <c r="AA720" s="202"/>
    </row>
    <row r="721" spans="26:27" ht="15">
      <c r="Z721" s="202"/>
      <c r="AA721" s="202"/>
    </row>
    <row r="722" spans="26:27" ht="15">
      <c r="Z722" s="202"/>
      <c r="AA722" s="202"/>
    </row>
    <row r="723" spans="26:27" ht="15">
      <c r="Z723" s="202"/>
      <c r="AA723" s="202"/>
    </row>
    <row r="724" spans="26:27" ht="15">
      <c r="Z724" s="202"/>
      <c r="AA724" s="202"/>
    </row>
    <row r="725" spans="26:27" ht="15">
      <c r="Z725" s="202"/>
      <c r="AA725" s="202"/>
    </row>
    <row r="726" spans="26:27" ht="15">
      <c r="Z726" s="202"/>
      <c r="AA726" s="202"/>
    </row>
    <row r="727" spans="26:27" ht="15">
      <c r="Z727" s="202"/>
      <c r="AA727" s="202"/>
    </row>
    <row r="728" spans="26:27" ht="15">
      <c r="Z728" s="202"/>
      <c r="AA728" s="202"/>
    </row>
    <row r="729" spans="26:27" ht="15">
      <c r="Z729" s="202"/>
      <c r="AA729" s="202"/>
    </row>
    <row r="730" spans="26:27" ht="15">
      <c r="Z730" s="202"/>
      <c r="AA730" s="202"/>
    </row>
    <row r="731" spans="26:27" ht="15">
      <c r="Z731" s="202"/>
      <c r="AA731" s="202"/>
    </row>
    <row r="732" spans="26:27" ht="15">
      <c r="Z732" s="202"/>
      <c r="AA732" s="202"/>
    </row>
    <row r="733" spans="26:27" ht="15">
      <c r="Z733" s="202"/>
      <c r="AA733" s="202"/>
    </row>
    <row r="734" spans="26:27" ht="15">
      <c r="Z734" s="202"/>
      <c r="AA734" s="202"/>
    </row>
    <row r="735" spans="26:27" ht="15">
      <c r="Z735" s="202"/>
      <c r="AA735" s="202"/>
    </row>
    <row r="736" spans="26:27" ht="15">
      <c r="Z736" s="202"/>
      <c r="AA736" s="202"/>
    </row>
    <row r="737" spans="26:27" ht="15">
      <c r="Z737" s="202"/>
      <c r="AA737" s="202"/>
    </row>
    <row r="738" spans="26:27" ht="15">
      <c r="Z738" s="202"/>
      <c r="AA738" s="202"/>
    </row>
    <row r="739" spans="26:27" ht="15">
      <c r="Z739" s="202"/>
      <c r="AA739" s="202"/>
    </row>
    <row r="740" spans="26:27" ht="15">
      <c r="Z740" s="202"/>
      <c r="AA740" s="202"/>
    </row>
    <row r="741" spans="26:27" ht="15">
      <c r="AA741" s="202"/>
    </row>
    <row r="742" spans="26:27" ht="15">
      <c r="AA742" s="202"/>
    </row>
  </sheetData>
  <mergeCells count="8">
    <mergeCell ref="D3:F3"/>
    <mergeCell ref="AC3:AG3"/>
    <mergeCell ref="AC46:AG46"/>
    <mergeCell ref="AC8:AG8"/>
    <mergeCell ref="AC14:AG14"/>
    <mergeCell ref="AC40:AG40"/>
    <mergeCell ref="AC28:AG28"/>
    <mergeCell ref="R3:T3"/>
  </mergeCells>
  <pageMargins left="0.23622047244094491" right="0.23622047244094491" top="0.35433070866141736" bottom="0.35433070866141736" header="0" footer="0"/>
  <pageSetup paperSize="8" scale="30" fitToHeight="0" orientation="landscape" r:id="rId1"/>
  <headerFooter alignWithMargins="0">
    <oddFooter>&amp;C&amp;A&amp;R&amp;P/&amp;N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0"/>
  <sheetViews>
    <sheetView showGridLines="0" zoomScale="70" zoomScaleNormal="70" zoomScaleSheetLayoutView="70" workbookViewId="0"/>
  </sheetViews>
  <sheetFormatPr defaultRowHeight="12.75"/>
  <cols>
    <col min="1" max="1" width="47.7109375" customWidth="1"/>
    <col min="2" max="2" width="21" customWidth="1"/>
    <col min="3" max="3" width="19.7109375" customWidth="1"/>
    <col min="4" max="4" width="20.140625" customWidth="1"/>
    <col min="5" max="56" width="9.140625" style="21"/>
  </cols>
  <sheetData>
    <row r="1" spans="1:56" s="83" customFormat="1" ht="23.25" customHeight="1">
      <c r="A1" s="729" t="s">
        <v>584</v>
      </c>
      <c r="B1" s="730"/>
      <c r="C1" s="730"/>
      <c r="D1" s="616" t="s">
        <v>143</v>
      </c>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R1" s="153"/>
      <c r="AS1" s="153"/>
      <c r="AT1" s="153"/>
      <c r="AU1" s="153"/>
      <c r="AV1" s="153"/>
      <c r="AW1" s="153"/>
      <c r="AX1" s="153"/>
      <c r="AY1" s="153"/>
      <c r="BA1" s="153"/>
      <c r="BB1" s="153"/>
      <c r="BC1" s="153"/>
      <c r="BD1" s="153"/>
    </row>
    <row r="2" spans="1:56" s="277" customFormat="1" ht="15.75">
      <c r="A2" s="275"/>
      <c r="B2" s="276"/>
      <c r="D2" s="278"/>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row>
    <row r="3" spans="1:56" s="277" customFormat="1" ht="15.75">
      <c r="A3" s="1424" t="s">
        <v>726</v>
      </c>
      <c r="B3" s="1425"/>
      <c r="C3" s="1425"/>
      <c r="D3" s="1426"/>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row>
    <row r="4" spans="1:56" s="277" customFormat="1" ht="69.75" customHeight="1">
      <c r="A4" s="1427" t="s">
        <v>1095</v>
      </c>
      <c r="B4" s="1418"/>
      <c r="C4" s="1418"/>
      <c r="D4" s="1428"/>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row>
    <row r="5" spans="1:56" s="86" customFormat="1" ht="14.25" customHeight="1">
      <c r="A5" s="617"/>
      <c r="B5" s="618"/>
      <c r="C5" s="618"/>
      <c r="D5" s="626"/>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row>
    <row r="6" spans="1:56" s="86" customFormat="1">
      <c r="A6" s="619" t="s">
        <v>852</v>
      </c>
      <c r="B6" s="1302">
        <v>6400000</v>
      </c>
      <c r="C6" s="618"/>
      <c r="D6" s="626"/>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row>
    <row r="7" spans="1:56" s="86" customFormat="1" ht="15" customHeight="1">
      <c r="A7" s="619" t="s">
        <v>853</v>
      </c>
      <c r="B7" s="1302">
        <v>0</v>
      </c>
      <c r="C7" s="618"/>
      <c r="D7" s="626"/>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row>
    <row r="8" spans="1:56" s="86" customFormat="1">
      <c r="A8" s="619" t="s">
        <v>854</v>
      </c>
      <c r="B8" s="1302">
        <v>0</v>
      </c>
      <c r="C8" s="618"/>
      <c r="D8" s="626"/>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row>
    <row r="9" spans="1:56" s="84" customFormat="1">
      <c r="A9" s="620"/>
      <c r="B9" s="621"/>
      <c r="C9" s="622"/>
      <c r="D9" s="627"/>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row>
    <row r="10" spans="1:56" s="84" customFormat="1" ht="15.75">
      <c r="A10" s="1424" t="s">
        <v>720</v>
      </c>
      <c r="B10" s="1425"/>
      <c r="C10" s="1425"/>
      <c r="D10" s="1426"/>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row>
    <row r="11" spans="1:56" s="84" customFormat="1">
      <c r="A11" s="229"/>
      <c r="B11" s="228"/>
      <c r="C11" s="228"/>
      <c r="D11" s="628"/>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154"/>
    </row>
    <row r="12" spans="1:56" s="108" customFormat="1" ht="53.25" customHeight="1">
      <c r="A12" s="615"/>
      <c r="B12" s="636" t="s">
        <v>1039</v>
      </c>
      <c r="C12" s="612" t="s">
        <v>1040</v>
      </c>
      <c r="D12" s="637" t="s">
        <v>585</v>
      </c>
      <c r="E12" s="102"/>
      <c r="F12" s="102"/>
      <c r="G12" s="102"/>
      <c r="H12" s="72"/>
      <c r="I12" s="102"/>
      <c r="J12" s="102"/>
      <c r="K12" s="72"/>
      <c r="L12" s="102"/>
      <c r="M12" s="102"/>
      <c r="N12" s="72"/>
      <c r="O12" s="102"/>
      <c r="P12" s="102"/>
      <c r="Q12" s="7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72"/>
      <c r="AV12" s="72"/>
      <c r="AW12" s="72"/>
      <c r="AX12" s="72"/>
      <c r="AY12" s="102"/>
      <c r="AZ12" s="102"/>
      <c r="BA12" s="102"/>
      <c r="BB12" s="102"/>
      <c r="BC12" s="102"/>
      <c r="BD12" s="102"/>
    </row>
    <row r="13" spans="1:56" s="80" customFormat="1">
      <c r="A13" s="157" t="s">
        <v>514</v>
      </c>
      <c r="B13" s="108"/>
      <c r="C13" s="108"/>
      <c r="D13" s="148"/>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row>
    <row r="14" spans="1:56" s="80" customFormat="1">
      <c r="A14" s="129" t="s">
        <v>529</v>
      </c>
      <c r="B14" s="60">
        <v>332305933.98700649</v>
      </c>
      <c r="C14" s="237"/>
      <c r="D14" s="148"/>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row>
    <row r="15" spans="1:56" s="80" customFormat="1">
      <c r="A15" s="129" t="s">
        <v>528</v>
      </c>
      <c r="B15" s="60">
        <v>491444620.10331255</v>
      </c>
      <c r="C15" s="237"/>
      <c r="D15" s="148"/>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row>
    <row r="16" spans="1:56" s="80" customFormat="1">
      <c r="A16" s="129" t="s">
        <v>530</v>
      </c>
      <c r="B16" s="469">
        <f>SUM('TAR_Tab 13_Connectiontarieven'!F7:F557)</f>
        <v>11489661.602869755</v>
      </c>
      <c r="C16" s="237"/>
      <c r="D16" s="148"/>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row>
    <row r="17" spans="1:56" s="80" customFormat="1">
      <c r="A17" s="129" t="s">
        <v>531</v>
      </c>
      <c r="B17" s="60">
        <f>'TAR_Tab 14_Overige tarieven'!G10*'TAR_Tab 14_Overige tarieven'!D10</f>
        <v>442344.92952150898</v>
      </c>
      <c r="C17" s="237"/>
      <c r="D17" s="148"/>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row>
    <row r="18" spans="1:56" s="80" customFormat="1">
      <c r="A18" s="129" t="s">
        <v>532</v>
      </c>
      <c r="B18" s="60">
        <f>'TAR_Tab 14_Overige tarieven'!G11*'TAR_Tab 14_Overige tarieven'!D11</f>
        <v>9511.7487322074358</v>
      </c>
      <c r="C18" s="237"/>
      <c r="D18" s="148"/>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row>
    <row r="19" spans="1:56" s="71" customFormat="1">
      <c r="A19" s="129" t="s">
        <v>549</v>
      </c>
      <c r="B19" s="400">
        <f>'TAR_Tab 14_Overige tarieven'!G12*'TAR_Tab 14_Overige tarieven'!D12</f>
        <v>54502.320235548606</v>
      </c>
      <c r="C19" s="237"/>
      <c r="D19" s="176"/>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row>
    <row r="20" spans="1:56" s="80" customFormat="1">
      <c r="A20" s="157" t="s">
        <v>724</v>
      </c>
      <c r="B20" s="60">
        <f>SUM(B14:B19)</f>
        <v>835746574.69167805</v>
      </c>
      <c r="C20" s="623">
        <f>Parameters!B83</f>
        <v>861678812.5008719</v>
      </c>
      <c r="D20" s="148"/>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row>
    <row r="21" spans="1:56" s="80" customFormat="1">
      <c r="A21" s="129" t="s">
        <v>721</v>
      </c>
      <c r="B21" s="634"/>
      <c r="C21" s="623">
        <f>-B6</f>
        <v>-6400000</v>
      </c>
      <c r="D21" s="633"/>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row>
    <row r="22" spans="1:56" s="80" customFormat="1">
      <c r="A22" s="129" t="s">
        <v>722</v>
      </c>
      <c r="B22" s="634"/>
      <c r="C22" s="623">
        <f>-B7</f>
        <v>0</v>
      </c>
      <c r="D22" s="633"/>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row>
    <row r="23" spans="1:56" s="80" customFormat="1">
      <c r="A23" s="129" t="s">
        <v>723</v>
      </c>
      <c r="B23" s="634"/>
      <c r="C23" s="623">
        <f>-B8</f>
        <v>0</v>
      </c>
      <c r="D23" s="633"/>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row>
    <row r="24" spans="1:56" s="80" customFormat="1">
      <c r="A24" s="157" t="s">
        <v>725</v>
      </c>
      <c r="B24" s="60">
        <f>B20</f>
        <v>835746574.69167805</v>
      </c>
      <c r="C24" s="623">
        <f>SUM(C20:C23)</f>
        <v>855278812.5008719</v>
      </c>
      <c r="D24" s="635">
        <f>C24/B24</f>
        <v>1.0233710055185086</v>
      </c>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row>
    <row r="25" spans="1:56" s="80" customFormat="1">
      <c r="A25" s="157"/>
      <c r="B25" s="111"/>
      <c r="C25" s="108"/>
      <c r="D25" s="630"/>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row>
    <row r="26" spans="1:56" s="80" customFormat="1">
      <c r="A26" s="157" t="s">
        <v>515</v>
      </c>
      <c r="B26" s="469">
        <f>'TAR_Tab 14_Overige tarieven'!G14*'TAR_Tab 14_Overige tarieven'!D14</f>
        <v>29513111.982508868</v>
      </c>
      <c r="C26" s="287">
        <f>Parameters!C83</f>
        <v>31110941.808018349</v>
      </c>
      <c r="D26" s="629">
        <f t="shared" ref="D26" si="0">C26/B26</f>
        <v>1.0541396592286318</v>
      </c>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row>
    <row r="27" spans="1:56" s="80" customFormat="1">
      <c r="A27" s="129"/>
      <c r="B27" s="108"/>
      <c r="C27" s="108"/>
      <c r="D27" s="148"/>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row>
    <row r="28" spans="1:56" s="80" customFormat="1">
      <c r="A28" s="157" t="s">
        <v>496</v>
      </c>
      <c r="B28" s="60">
        <f>'TAR_Tab 14_Overige tarieven'!G15*'TAR_Tab 14_Overige tarieven'!D15</f>
        <v>73337156.232515082</v>
      </c>
      <c r="C28" s="470">
        <f>Parameters!F83</f>
        <v>77307604.879740357</v>
      </c>
      <c r="D28" s="629">
        <f>C28/B28</f>
        <v>1.0541396592286314</v>
      </c>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row>
    <row r="29" spans="1:56" s="80" customFormat="1">
      <c r="A29" s="129"/>
      <c r="B29" s="108"/>
      <c r="C29" s="108"/>
      <c r="D29" s="148"/>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row>
    <row r="30" spans="1:56" s="80" customFormat="1">
      <c r="A30" s="157" t="s">
        <v>527</v>
      </c>
      <c r="B30" s="469">
        <f>'TAR_Tab 14_Overige tarieven'!G16*'TAR_Tab 14_Overige tarieven'!D16</f>
        <v>30046035.442082416</v>
      </c>
      <c r="C30" s="287">
        <f>Parameters!D83</f>
        <v>48526232.305103332</v>
      </c>
      <c r="D30" s="631">
        <f>C30/B30</f>
        <v>1.6150627392636829</v>
      </c>
      <c r="E30" s="73"/>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row>
    <row r="31" spans="1:56" s="80" customFormat="1">
      <c r="A31" s="129"/>
      <c r="B31" s="228"/>
      <c r="C31" s="228"/>
      <c r="D31" s="268"/>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row>
    <row r="32" spans="1:56" s="80" customFormat="1">
      <c r="A32" s="157" t="s">
        <v>523</v>
      </c>
      <c r="B32" s="111" t="s">
        <v>851</v>
      </c>
      <c r="C32" s="228"/>
      <c r="D32" s="268"/>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row>
    <row r="33" spans="1:56" s="80" customFormat="1">
      <c r="A33" s="145"/>
      <c r="B33" s="330"/>
      <c r="C33" s="330"/>
      <c r="D33" s="632"/>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row>
    <row r="39" spans="1:56">
      <c r="B39" s="101"/>
    </row>
    <row r="40" spans="1:56">
      <c r="A40" s="80"/>
    </row>
  </sheetData>
  <mergeCells count="3">
    <mergeCell ref="A3:D3"/>
    <mergeCell ref="A10:D10"/>
    <mergeCell ref="A4:D4"/>
  </mergeCells>
  <pageMargins left="0.25" right="0.25" top="0.75" bottom="0.75" header="0.3" footer="0.3"/>
  <pageSetup paperSize="9" scale="65" orientation="portrait" r:id="rId1"/>
  <headerFooter>
    <oddFooter>&amp;C&amp;A&amp;R&amp;P/&amp;N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80"/>
  </sheetPr>
  <dimension ref="A1"/>
  <sheetViews>
    <sheetView showGridLines="0" view="pageBreakPreview" zoomScale="70" zoomScaleNormal="70" zoomScaleSheetLayoutView="70" workbookViewId="0"/>
  </sheetViews>
  <sheetFormatPr defaultRowHeight="12.75"/>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70" zoomScaleNormal="70" zoomScaleSheetLayoutView="70" workbookViewId="0"/>
  </sheetViews>
  <sheetFormatPr defaultRowHeight="12.75"/>
  <cols>
    <col min="1" max="1" width="110.140625" customWidth="1"/>
    <col min="2" max="2" width="22" customWidth="1"/>
    <col min="3" max="3" width="24.7109375" customWidth="1"/>
    <col min="4" max="4" width="56.7109375" customWidth="1"/>
    <col min="5" max="6" width="16.5703125" customWidth="1"/>
    <col min="7" max="7" width="208.5703125" bestFit="1" customWidth="1"/>
  </cols>
  <sheetData>
    <row r="1" spans="1:7" ht="23.25">
      <c r="A1" s="9" t="s">
        <v>1007</v>
      </c>
      <c r="B1" s="885"/>
      <c r="C1" s="885"/>
      <c r="D1" s="885"/>
    </row>
    <row r="2" spans="1:7">
      <c r="A2" s="71"/>
      <c r="B2" s="71"/>
      <c r="C2" s="71"/>
      <c r="D2" s="71"/>
      <c r="E2" s="71"/>
      <c r="F2" s="71"/>
      <c r="G2" s="80"/>
    </row>
    <row r="3" spans="1:7" s="101" customFormat="1" ht="219.75" customHeight="1">
      <c r="A3" s="1415" t="s">
        <v>1121</v>
      </c>
      <c r="B3" s="1415"/>
      <c r="C3" s="1415"/>
      <c r="D3" s="1415"/>
      <c r="E3" s="881"/>
      <c r="F3" s="881"/>
      <c r="G3" s="80"/>
    </row>
    <row r="4" spans="1:7" s="101" customFormat="1">
      <c r="A4" s="71"/>
      <c r="B4" s="71"/>
      <c r="C4" s="71"/>
      <c r="D4" s="71"/>
      <c r="E4" s="71"/>
      <c r="F4" s="71"/>
      <c r="G4" s="80"/>
    </row>
    <row r="5" spans="1:7" s="101" customFormat="1">
      <c r="A5" s="32" t="s">
        <v>500</v>
      </c>
      <c r="B5" s="948">
        <v>2014</v>
      </c>
      <c r="C5" s="948">
        <v>2015</v>
      </c>
      <c r="D5" s="71"/>
      <c r="E5" s="71"/>
      <c r="F5" s="71"/>
      <c r="G5" s="80"/>
    </row>
    <row r="6" spans="1:7" s="101" customFormat="1">
      <c r="A6" s="161" t="s">
        <v>936</v>
      </c>
      <c r="B6" s="880">
        <f>Parameters!P11</f>
        <v>8.1599999999999229E-2</v>
      </c>
      <c r="C6" s="880">
        <f>Parameters!Q11</f>
        <v>3.9999999999999591E-2</v>
      </c>
      <c r="D6" s="71"/>
      <c r="E6" s="71"/>
      <c r="F6" s="71"/>
      <c r="G6" s="80"/>
    </row>
    <row r="7" spans="1:7" s="101" customFormat="1">
      <c r="A7" s="105"/>
      <c r="C7" s="294"/>
      <c r="D7" s="71"/>
      <c r="E7" s="71"/>
      <c r="F7" s="71"/>
      <c r="G7" s="80"/>
    </row>
    <row r="8" spans="1:7" s="101" customFormat="1" ht="13.5" customHeight="1">
      <c r="A8" s="434" t="s">
        <v>1110</v>
      </c>
      <c r="B8" s="875" t="s">
        <v>514</v>
      </c>
      <c r="C8" s="681" t="s">
        <v>524</v>
      </c>
      <c r="D8" s="1269"/>
      <c r="E8" s="71"/>
      <c r="F8" s="71"/>
      <c r="G8" s="80"/>
    </row>
    <row r="9" spans="1:7">
      <c r="A9" s="89" t="s">
        <v>1086</v>
      </c>
      <c r="B9" s="708">
        <f>Parameters!B94</f>
        <v>991839179.71912599</v>
      </c>
      <c r="C9" s="708">
        <f>Parameters!C94</f>
        <v>36840921.511658549</v>
      </c>
      <c r="D9" s="1270"/>
      <c r="E9" s="879"/>
      <c r="F9" s="879"/>
    </row>
    <row r="10" spans="1:7">
      <c r="A10" s="89" t="s">
        <v>1084</v>
      </c>
      <c r="B10" s="708">
        <f>Parameters!B75</f>
        <v>972721642.17261302</v>
      </c>
      <c r="C10" s="708">
        <f>Parameters!D75</f>
        <v>55779461.753934272</v>
      </c>
      <c r="D10" s="1271"/>
      <c r="E10" s="879"/>
      <c r="F10" s="879"/>
    </row>
    <row r="11" spans="1:7">
      <c r="A11" s="882"/>
      <c r="B11" s="73"/>
      <c r="C11" s="71"/>
      <c r="D11" s="1272"/>
      <c r="E11" s="72"/>
      <c r="F11" s="72"/>
    </row>
    <row r="12" spans="1:7">
      <c r="A12" s="434" t="s">
        <v>1111</v>
      </c>
      <c r="B12" s="875" t="s">
        <v>514</v>
      </c>
      <c r="C12" s="681" t="s">
        <v>524</v>
      </c>
      <c r="D12" s="1272"/>
      <c r="E12" s="790"/>
      <c r="F12" s="790"/>
    </row>
    <row r="13" spans="1:7">
      <c r="A13" s="89" t="s">
        <v>1109</v>
      </c>
      <c r="B13" s="287">
        <f>Parameters!B98</f>
        <v>989043347.46157718</v>
      </c>
      <c r="C13" s="287">
        <f>Parameters!C98</f>
        <v>34794648.82606566</v>
      </c>
      <c r="D13" s="1270"/>
      <c r="E13" s="112"/>
      <c r="F13" s="112"/>
    </row>
    <row r="14" spans="1:7">
      <c r="A14" s="89" t="s">
        <v>1087</v>
      </c>
      <c r="B14" s="287">
        <f>Parameters!B80</f>
        <v>970808310.19674706</v>
      </c>
      <c r="C14" s="287">
        <f>Parameters!D80</f>
        <v>52686745.155707978</v>
      </c>
      <c r="D14" s="801"/>
      <c r="E14" s="112"/>
      <c r="F14" s="112"/>
    </row>
    <row r="15" spans="1:7">
      <c r="A15" s="883"/>
      <c r="B15" s="71"/>
      <c r="C15" s="71"/>
      <c r="D15" s="101"/>
      <c r="E15" s="72"/>
      <c r="F15" s="72"/>
    </row>
    <row r="16" spans="1:7">
      <c r="A16" s="1004" t="s">
        <v>1041</v>
      </c>
      <c r="B16" s="875" t="s">
        <v>514</v>
      </c>
      <c r="C16" s="681" t="s">
        <v>524</v>
      </c>
    </row>
    <row r="17" spans="1:4">
      <c r="A17" s="80" t="s">
        <v>1042</v>
      </c>
      <c r="B17" s="770">
        <f>B10-B9</f>
        <v>-19117537.546512961</v>
      </c>
      <c r="C17" s="770">
        <f>C10-C9</f>
        <v>18938540.242275722</v>
      </c>
    </row>
    <row r="18" spans="1:4" s="101" customFormat="1">
      <c r="A18" s="80" t="s">
        <v>1043</v>
      </c>
      <c r="B18" s="770">
        <f>B17*(1+B6)</f>
        <v>-20677528.610308405</v>
      </c>
      <c r="C18" s="770">
        <f>C17*(1+B6)</f>
        <v>20483925.126045406</v>
      </c>
    </row>
    <row r="19" spans="1:4" s="101" customFormat="1">
      <c r="A19" s="80" t="s">
        <v>1044</v>
      </c>
      <c r="B19" s="745">
        <f>B14-B13</f>
        <v>-18235037.264830112</v>
      </c>
      <c r="C19" s="745">
        <f>C14-C13</f>
        <v>17892096.329642318</v>
      </c>
    </row>
    <row r="20" spans="1:4" s="101" customFormat="1">
      <c r="A20" s="80" t="s">
        <v>1045</v>
      </c>
      <c r="B20" s="745">
        <f>B19*(1+C6)</f>
        <v>-18964438.755423311</v>
      </c>
      <c r="C20" s="745">
        <f>C19*(1+C6)</f>
        <v>18607780.182828005</v>
      </c>
      <c r="D20" s="80" t="s">
        <v>513</v>
      </c>
    </row>
    <row r="21" spans="1:4" s="101" customFormat="1">
      <c r="A21" s="80" t="s">
        <v>1046</v>
      </c>
      <c r="B21" s="745">
        <f>B18+B20</f>
        <v>-39641967.365731716</v>
      </c>
      <c r="C21" s="745">
        <f>C18+C20</f>
        <v>39091705.308873415</v>
      </c>
    </row>
    <row r="22" spans="1:4">
      <c r="A22" s="89" t="s">
        <v>1116</v>
      </c>
      <c r="B22" s="287">
        <f>Parameters!B84</f>
        <v>854760619.38343453</v>
      </c>
      <c r="C22" s="287">
        <f>Parameters!D83</f>
        <v>48526232.305103332</v>
      </c>
      <c r="D22" s="80"/>
    </row>
    <row r="23" spans="1:4">
      <c r="A23" s="102" t="s">
        <v>1052</v>
      </c>
      <c r="B23" s="884">
        <f>B21/B22</f>
        <v>-4.6377858861030241E-2</v>
      </c>
      <c r="C23" s="884">
        <f>C21/C22</f>
        <v>0.80557882720192719</v>
      </c>
    </row>
    <row r="25" spans="1:4" ht="40.5" customHeight="1">
      <c r="A25" s="1415" t="s">
        <v>1115</v>
      </c>
      <c r="B25" s="1429"/>
      <c r="C25" s="1429"/>
      <c r="D25" s="1429"/>
    </row>
    <row r="27" spans="1:4">
      <c r="A27" s="434" t="s">
        <v>1112</v>
      </c>
      <c r="B27" s="875" t="s">
        <v>514</v>
      </c>
      <c r="C27" s="681" t="s">
        <v>524</v>
      </c>
    </row>
    <row r="28" spans="1:4">
      <c r="A28" s="89" t="s">
        <v>1088</v>
      </c>
      <c r="B28" s="708">
        <f>Parameters!B101</f>
        <v>878648417.12342691</v>
      </c>
      <c r="C28" s="708">
        <f>Parameters!C101</f>
        <v>32045625.107143704</v>
      </c>
      <c r="D28" s="393"/>
    </row>
    <row r="29" spans="1:4">
      <c r="A29" s="89" t="s">
        <v>1089</v>
      </c>
      <c r="B29" s="708">
        <f>Parameters!B83</f>
        <v>861678812.5008719</v>
      </c>
      <c r="C29" s="708">
        <f>Parameters!D83</f>
        <v>48526232.305103332</v>
      </c>
    </row>
    <row r="30" spans="1:4">
      <c r="A30" s="102" t="s">
        <v>1113</v>
      </c>
      <c r="B30" s="745">
        <f>B29-B28</f>
        <v>-16969604.622555017</v>
      </c>
      <c r="C30" s="745">
        <f>C29-C28</f>
        <v>16480607.197959628</v>
      </c>
    </row>
    <row r="31" spans="1:4">
      <c r="A31" s="102" t="s">
        <v>1114</v>
      </c>
      <c r="B31" s="1139">
        <f>B30/B28</f>
        <v>-1.9313304721029545E-2</v>
      </c>
      <c r="C31" s="1139">
        <f>C30/C28</f>
        <v>0.51428571428571457</v>
      </c>
    </row>
  </sheetData>
  <mergeCells count="2">
    <mergeCell ref="A3:D3"/>
    <mergeCell ref="A25:D25"/>
  </mergeCells>
  <pageMargins left="0.7" right="0.7" top="0.75" bottom="0.75" header="0.3" footer="0.3"/>
  <pageSetup paperSize="9" scale="4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T232"/>
  <sheetViews>
    <sheetView showGridLines="0" zoomScale="70" zoomScaleNormal="70" zoomScaleSheetLayoutView="70" workbookViewId="0"/>
  </sheetViews>
  <sheetFormatPr defaultRowHeight="12.75"/>
  <cols>
    <col min="1" max="1" width="86.5703125" customWidth="1"/>
    <col min="2" max="2" width="49.5703125" bestFit="1" customWidth="1"/>
    <col min="3" max="3" width="28" customWidth="1"/>
    <col min="4" max="4" width="23.28515625" customWidth="1"/>
    <col min="5" max="5" width="19.28515625" customWidth="1"/>
    <col min="6" max="6" width="24.42578125" customWidth="1"/>
    <col min="7" max="7" width="26" bestFit="1" customWidth="1"/>
    <col min="8" max="8" width="19.7109375" customWidth="1"/>
    <col min="9" max="10" width="19.5703125" customWidth="1"/>
    <col min="11" max="11" width="19.5703125" style="71" customWidth="1"/>
    <col min="12" max="13" width="19.5703125" customWidth="1"/>
    <col min="14" max="14" width="23.140625" customWidth="1"/>
    <col min="15" max="15" width="23.140625" style="71" customWidth="1"/>
    <col min="16" max="16" width="23.140625" customWidth="1"/>
    <col min="17" max="17" width="24.42578125" customWidth="1"/>
    <col min="18" max="18" width="24.42578125" style="71" customWidth="1"/>
    <col min="19" max="19" width="24.42578125" customWidth="1"/>
    <col min="20" max="20" width="30.7109375" customWidth="1"/>
    <col min="21" max="21" width="24.5703125" style="71" customWidth="1"/>
    <col min="22" max="22" width="24.42578125" customWidth="1"/>
    <col min="23" max="23" width="11.28515625" style="101" customWidth="1"/>
    <col min="24" max="26" width="11.28515625" customWidth="1"/>
    <col min="27" max="28" width="12" style="101" customWidth="1"/>
    <col min="29" max="29" width="12.140625" style="101" customWidth="1"/>
    <col min="30" max="30" width="12.140625" customWidth="1"/>
    <col min="31" max="31" width="9.42578125" customWidth="1"/>
    <col min="32" max="32" width="12.140625" customWidth="1"/>
    <col min="33" max="33" width="12.42578125" customWidth="1"/>
    <col min="34" max="34" width="13" customWidth="1"/>
    <col min="35" max="35" width="12" customWidth="1"/>
    <col min="36" max="38" width="10.5703125" customWidth="1"/>
    <col min="39" max="39" width="10.5703125" style="258" customWidth="1"/>
    <col min="40" max="40" width="22" style="257" customWidth="1"/>
    <col min="41" max="41" width="22.5703125" customWidth="1"/>
    <col min="42" max="42" width="44.5703125" style="76" customWidth="1"/>
    <col min="43" max="45" width="35.28515625" style="76" customWidth="1"/>
    <col min="46" max="46" width="9.140625" style="22" bestFit="1" customWidth="1"/>
    <col min="47" max="47" width="12.5703125" style="22" customWidth="1"/>
    <col min="48" max="49" width="13.5703125" style="22" customWidth="1"/>
    <col min="50" max="50" width="29.7109375" style="22" bestFit="1" customWidth="1"/>
    <col min="51" max="58" width="9.140625" style="22"/>
    <col min="59" max="59" width="24.42578125" style="22" bestFit="1" customWidth="1"/>
    <col min="60" max="16384" width="9.140625" style="22"/>
  </cols>
  <sheetData>
    <row r="1" spans="1:45" s="11" customFormat="1" ht="23.25">
      <c r="A1" s="231" t="s">
        <v>1006</v>
      </c>
      <c r="B1" s="900"/>
      <c r="C1" s="900"/>
      <c r="D1" s="900"/>
      <c r="E1" s="900"/>
      <c r="F1" s="900"/>
      <c r="G1" s="900"/>
      <c r="H1" s="900"/>
      <c r="I1" s="900"/>
      <c r="J1" s="900"/>
      <c r="K1" s="901"/>
      <c r="L1" s="900"/>
      <c r="M1" s="900"/>
      <c r="N1" s="900"/>
      <c r="O1" s="901"/>
      <c r="P1" s="900"/>
      <c r="Q1" s="900"/>
      <c r="R1" s="901"/>
      <c r="S1" s="900"/>
      <c r="T1" s="900"/>
      <c r="U1" s="901"/>
      <c r="V1" s="900"/>
      <c r="W1" s="900"/>
      <c r="X1" s="900"/>
      <c r="Y1" s="900"/>
      <c r="Z1" s="900"/>
      <c r="AA1" s="900"/>
      <c r="AB1" s="900"/>
      <c r="AC1" s="900"/>
      <c r="AD1" s="900"/>
      <c r="AE1" s="900"/>
      <c r="AF1" s="900"/>
      <c r="AG1" s="900"/>
      <c r="AH1" s="900"/>
      <c r="AI1" s="900"/>
      <c r="AJ1" s="900"/>
      <c r="AK1" s="900"/>
      <c r="AL1" s="405"/>
      <c r="AM1" s="902"/>
      <c r="AN1" s="902"/>
      <c r="AO1" s="902"/>
      <c r="AP1" s="903"/>
      <c r="AQ1" s="903"/>
      <c r="AR1" s="903"/>
      <c r="AS1" s="904" t="s">
        <v>143</v>
      </c>
    </row>
    <row r="2" spans="1:45" s="42" customFormat="1">
      <c r="A2" s="474"/>
      <c r="B2" s="475"/>
      <c r="C2" s="476"/>
      <c r="D2" s="477"/>
      <c r="E2" s="478"/>
      <c r="F2" s="477"/>
      <c r="G2" s="477"/>
      <c r="H2" s="477"/>
      <c r="I2" s="477"/>
      <c r="J2" s="477"/>
      <c r="K2" s="479"/>
      <c r="L2" s="477"/>
      <c r="M2" s="477"/>
      <c r="N2" s="477"/>
      <c r="O2" s="479"/>
      <c r="P2" s="477"/>
      <c r="Q2" s="477"/>
      <c r="R2" s="479"/>
      <c r="S2" s="477"/>
      <c r="T2" s="477"/>
      <c r="U2" s="479"/>
      <c r="V2" s="477"/>
      <c r="W2" s="477"/>
      <c r="X2" s="477"/>
      <c r="Y2" s="477"/>
      <c r="Z2" s="477"/>
      <c r="AA2" s="477"/>
      <c r="AB2" s="477"/>
      <c r="AC2" s="477"/>
      <c r="AD2" s="477"/>
      <c r="AE2" s="477"/>
      <c r="AF2" s="477"/>
      <c r="AG2" s="477"/>
      <c r="AH2" s="477"/>
      <c r="AI2" s="477"/>
      <c r="AJ2" s="477"/>
      <c r="AK2" s="477"/>
      <c r="AL2" s="477"/>
      <c r="AM2" s="480"/>
      <c r="AN2" s="480"/>
      <c r="AO2" s="477"/>
      <c r="AP2" s="481"/>
      <c r="AQ2" s="481"/>
      <c r="AR2" s="481"/>
      <c r="AS2" s="477"/>
    </row>
    <row r="3" spans="1:45" s="102" customFormat="1">
      <c r="A3" s="159" t="s">
        <v>14</v>
      </c>
      <c r="K3" s="72"/>
      <c r="O3" s="72"/>
      <c r="R3" s="72"/>
      <c r="U3" s="72"/>
      <c r="AM3" s="251"/>
      <c r="AN3" s="251"/>
      <c r="AP3" s="897"/>
      <c r="AQ3" s="897"/>
      <c r="AR3" s="897"/>
    </row>
    <row r="4" spans="1:45" s="216" customFormat="1">
      <c r="A4" s="174" t="s">
        <v>562</v>
      </c>
      <c r="B4" s="215">
        <f>Parameters!B14</f>
        <v>5.8000000000000003E-2</v>
      </c>
      <c r="C4" s="216" t="s">
        <v>559</v>
      </c>
      <c r="K4" s="74"/>
      <c r="O4" s="74"/>
      <c r="R4" s="74"/>
      <c r="U4" s="74"/>
      <c r="AM4" s="250"/>
      <c r="AN4" s="250"/>
      <c r="AP4" s="72"/>
      <c r="AQ4" s="72"/>
      <c r="AR4" s="72"/>
    </row>
    <row r="5" spans="1:45" s="216" customFormat="1">
      <c r="A5" s="174" t="s">
        <v>508</v>
      </c>
      <c r="B5" s="215">
        <f>Parameters!B15</f>
        <v>3.5999999999999997E-2</v>
      </c>
      <c r="C5" s="216" t="s">
        <v>687</v>
      </c>
      <c r="K5" s="74"/>
      <c r="O5" s="74"/>
      <c r="R5" s="74"/>
      <c r="U5" s="74"/>
      <c r="AM5" s="250"/>
      <c r="AN5" s="250"/>
      <c r="AP5" s="472"/>
      <c r="AQ5" s="472"/>
      <c r="AR5" s="472"/>
    </row>
    <row r="6" spans="1:45" s="216" customFormat="1">
      <c r="A6" s="174" t="s">
        <v>464</v>
      </c>
      <c r="B6" s="215">
        <f>Parameters!B25</f>
        <v>0.01</v>
      </c>
      <c r="C6" s="216" t="s">
        <v>587</v>
      </c>
      <c r="K6" s="74"/>
      <c r="O6" s="74"/>
      <c r="R6" s="74"/>
      <c r="U6" s="74"/>
      <c r="AM6" s="250"/>
      <c r="AN6" s="250"/>
      <c r="AP6" s="472"/>
      <c r="AQ6" s="472"/>
      <c r="AR6" s="472"/>
    </row>
    <row r="7" spans="1:45" s="216" customFormat="1">
      <c r="A7" s="174"/>
      <c r="B7" s="122"/>
      <c r="C7" s="74"/>
      <c r="K7" s="74"/>
      <c r="O7" s="74"/>
      <c r="R7" s="74"/>
      <c r="U7" s="74"/>
      <c r="AM7" s="250"/>
      <c r="AN7" s="250"/>
      <c r="AP7" s="472"/>
      <c r="AQ7" s="472"/>
      <c r="AR7" s="472"/>
    </row>
    <row r="8" spans="1:45" s="216" customFormat="1">
      <c r="A8" s="32" t="s">
        <v>463</v>
      </c>
      <c r="B8" s="102"/>
      <c r="K8" s="74"/>
      <c r="O8" s="74"/>
      <c r="R8" s="74"/>
      <c r="U8" s="74"/>
      <c r="AM8" s="250"/>
      <c r="AN8" s="250"/>
      <c r="AP8" s="472"/>
      <c r="AQ8" s="472"/>
      <c r="AR8" s="472"/>
    </row>
    <row r="9" spans="1:45" s="216" customFormat="1">
      <c r="A9" s="160" t="s">
        <v>462</v>
      </c>
      <c r="B9" s="50" t="s">
        <v>456</v>
      </c>
      <c r="C9" s="217">
        <v>2013</v>
      </c>
      <c r="D9" s="218">
        <v>2014</v>
      </c>
      <c r="E9" s="218">
        <v>2015</v>
      </c>
      <c r="F9" s="1066">
        <v>2016</v>
      </c>
      <c r="AM9" s="250"/>
      <c r="AN9" s="250"/>
    </row>
    <row r="10" spans="1:45" s="216" customFormat="1">
      <c r="A10" s="174">
        <v>2013</v>
      </c>
      <c r="B10" s="220">
        <f>Parameters!B62</f>
        <v>1.0229999999999999</v>
      </c>
      <c r="C10" s="150">
        <f>Parameters!O62</f>
        <v>1</v>
      </c>
      <c r="D10" s="150">
        <f>Parameters!P62</f>
        <v>1.028</v>
      </c>
      <c r="E10" s="150">
        <f>Parameters!Q62</f>
        <v>1.0382800000000001</v>
      </c>
      <c r="F10" s="1064">
        <f>Parameters!R62</f>
        <v>1.0465862400000001</v>
      </c>
      <c r="G10" s="242"/>
      <c r="AM10" s="250"/>
      <c r="AN10" s="250"/>
    </row>
    <row r="11" spans="1:45" s="102" customFormat="1">
      <c r="A11" s="161">
        <v>2014</v>
      </c>
      <c r="B11" s="220">
        <f>Parameters!B63</f>
        <v>1.028</v>
      </c>
      <c r="C11" s="439"/>
      <c r="D11" s="150">
        <f>Parameters!P63</f>
        <v>1</v>
      </c>
      <c r="E11" s="150">
        <f>Parameters!Q63</f>
        <v>1.01</v>
      </c>
      <c r="F11" s="1064">
        <f>Parameters!R63</f>
        <v>1.0180800000000001</v>
      </c>
      <c r="G11" s="105"/>
      <c r="H11" s="105"/>
      <c r="I11" s="105"/>
      <c r="AM11" s="251"/>
      <c r="AN11" s="251"/>
    </row>
    <row r="12" spans="1:45" s="102" customFormat="1">
      <c r="A12" s="161">
        <v>2015</v>
      </c>
      <c r="B12" s="220">
        <f>Parameters!B64</f>
        <v>1.01</v>
      </c>
      <c r="C12" s="439"/>
      <c r="D12" s="439"/>
      <c r="E12" s="150">
        <f>Parameters!Q64</f>
        <v>1</v>
      </c>
      <c r="F12" s="1064">
        <f>Parameters!R64</f>
        <v>1.008</v>
      </c>
      <c r="G12" s="105"/>
      <c r="H12" s="105"/>
      <c r="I12" s="105"/>
      <c r="AM12" s="251"/>
      <c r="AN12" s="251"/>
    </row>
    <row r="13" spans="1:45" s="228" customFormat="1">
      <c r="A13" s="290">
        <v>2016</v>
      </c>
      <c r="B13" s="1065">
        <f>Parameters!B65</f>
        <v>1.008</v>
      </c>
      <c r="C13" s="439"/>
      <c r="D13" s="439"/>
      <c r="E13" s="439"/>
      <c r="F13" s="1064">
        <f>Parameters!R65</f>
        <v>1</v>
      </c>
      <c r="G13" s="291"/>
      <c r="H13" s="291"/>
      <c r="I13" s="291"/>
      <c r="K13" s="81"/>
      <c r="O13" s="81"/>
      <c r="R13" s="81"/>
      <c r="U13" s="81"/>
      <c r="AM13" s="267"/>
      <c r="AN13" s="267"/>
      <c r="AP13" s="81"/>
      <c r="AQ13" s="81"/>
      <c r="AR13" s="81"/>
    </row>
    <row r="14" spans="1:45" s="228" customFormat="1">
      <c r="A14" s="290"/>
      <c r="B14" s="311"/>
      <c r="C14" s="291"/>
      <c r="D14" s="291"/>
      <c r="E14" s="312"/>
      <c r="F14" s="312"/>
      <c r="G14" s="291"/>
      <c r="H14" s="291"/>
      <c r="I14" s="291"/>
      <c r="K14" s="81"/>
      <c r="O14" s="81"/>
      <c r="R14" s="81"/>
      <c r="U14" s="81"/>
      <c r="AM14" s="267"/>
      <c r="AN14" s="267"/>
      <c r="AP14" s="81"/>
      <c r="AQ14" s="81"/>
      <c r="AR14" s="81"/>
    </row>
    <row r="15" spans="1:45" s="102" customFormat="1">
      <c r="A15" s="32" t="s">
        <v>500</v>
      </c>
      <c r="B15" s="948">
        <v>2013</v>
      </c>
      <c r="C15" s="948">
        <v>2014</v>
      </c>
      <c r="D15" s="1067">
        <v>2015</v>
      </c>
      <c r="E15" s="105"/>
      <c r="F15" s="105"/>
      <c r="N15" s="72"/>
      <c r="R15" s="72"/>
      <c r="AM15" s="251"/>
      <c r="AN15" s="251"/>
    </row>
    <row r="16" spans="1:45" s="108" customFormat="1">
      <c r="A16" s="161" t="s">
        <v>936</v>
      </c>
      <c r="B16" s="880">
        <f>Parameters!O11</f>
        <v>0.11674221072489366</v>
      </c>
      <c r="C16" s="880">
        <f>Parameters!P11</f>
        <v>8.1599999999999229E-2</v>
      </c>
      <c r="D16" s="880">
        <f>Parameters!Q11</f>
        <v>3.9999999999999591E-2</v>
      </c>
      <c r="E16" s="105"/>
      <c r="F16" s="295"/>
      <c r="N16" s="76"/>
      <c r="R16" s="76"/>
      <c r="AM16" s="313"/>
      <c r="AN16" s="313"/>
    </row>
    <row r="17" spans="1:46" s="102" customFormat="1">
      <c r="A17" s="161"/>
      <c r="D17" s="162"/>
      <c r="E17" s="105"/>
      <c r="F17" s="105"/>
      <c r="K17" s="72"/>
      <c r="O17" s="72"/>
      <c r="R17" s="72"/>
      <c r="U17" s="72"/>
      <c r="AM17" s="314"/>
      <c r="AN17" s="251"/>
      <c r="AP17" s="72"/>
      <c r="AQ17" s="72"/>
      <c r="AR17" s="72"/>
    </row>
    <row r="18" spans="1:46" s="108" customFormat="1">
      <c r="A18" s="159" t="s">
        <v>494</v>
      </c>
      <c r="B18" s="236"/>
      <c r="C18" s="236"/>
      <c r="D18" s="236"/>
      <c r="E18" s="236"/>
      <c r="F18" s="236"/>
      <c r="G18" s="236"/>
      <c r="H18" s="102"/>
      <c r="I18" s="102"/>
      <c r="J18" s="102"/>
      <c r="K18" s="72"/>
      <c r="L18" s="102"/>
      <c r="M18" s="102"/>
      <c r="N18" s="102"/>
      <c r="O18" s="72"/>
      <c r="P18" s="102"/>
      <c r="Q18" s="72"/>
      <c r="R18" s="72"/>
      <c r="S18" s="102"/>
      <c r="T18" s="102"/>
      <c r="U18" s="72"/>
      <c r="V18" s="72"/>
      <c r="W18" s="72"/>
      <c r="X18" s="102"/>
      <c r="Y18" s="102"/>
      <c r="Z18" s="102"/>
      <c r="AA18" s="102"/>
      <c r="AB18" s="102"/>
      <c r="AC18" s="102"/>
      <c r="AD18" s="102"/>
      <c r="AE18" s="102"/>
      <c r="AF18" s="102"/>
      <c r="AG18" s="102"/>
      <c r="AH18" s="102"/>
      <c r="AI18" s="102"/>
      <c r="AJ18" s="102"/>
      <c r="AK18" s="102"/>
      <c r="AL18" s="102"/>
      <c r="AM18" s="251"/>
      <c r="AN18" s="251"/>
      <c r="AO18" s="102"/>
      <c r="AP18" s="72"/>
      <c r="AQ18" s="72"/>
      <c r="AR18" s="72"/>
      <c r="AS18" s="102"/>
      <c r="AT18" s="228"/>
    </row>
    <row r="19" spans="1:46" s="108" customFormat="1">
      <c r="A19" s="163" t="s">
        <v>491</v>
      </c>
      <c r="B19" s="58" t="s">
        <v>495</v>
      </c>
      <c r="C19" s="58" t="s">
        <v>458</v>
      </c>
      <c r="D19" s="59" t="s">
        <v>560</v>
      </c>
      <c r="E19" s="133" t="s">
        <v>517</v>
      </c>
      <c r="F19" s="59" t="s">
        <v>496</v>
      </c>
      <c r="G19" s="133" t="s">
        <v>523</v>
      </c>
      <c r="H19" s="102"/>
      <c r="I19" s="102"/>
      <c r="J19" s="102"/>
      <c r="K19" s="72"/>
      <c r="L19" s="102"/>
      <c r="M19" s="102"/>
      <c r="N19" s="102"/>
      <c r="O19" s="72"/>
      <c r="P19" s="102"/>
      <c r="Q19" s="72"/>
      <c r="R19" s="72"/>
      <c r="S19" s="102"/>
      <c r="T19" s="102"/>
      <c r="U19" s="72"/>
      <c r="V19" s="72"/>
      <c r="W19" s="72"/>
      <c r="X19" s="102"/>
      <c r="Y19" s="102"/>
      <c r="Z19" s="102"/>
      <c r="AA19" s="102"/>
      <c r="AB19" s="102"/>
      <c r="AC19" s="102"/>
      <c r="AD19" s="102"/>
      <c r="AE19" s="102"/>
      <c r="AF19" s="102"/>
      <c r="AG19" s="102"/>
      <c r="AH19" s="102"/>
      <c r="AI19" s="102"/>
      <c r="AJ19" s="102"/>
      <c r="AK19" s="102"/>
      <c r="AL19" s="102"/>
      <c r="AM19" s="251"/>
      <c r="AN19" s="251"/>
      <c r="AO19" s="102"/>
      <c r="AP19" s="72"/>
      <c r="AQ19" s="72"/>
      <c r="AR19" s="72"/>
      <c r="AS19" s="102"/>
      <c r="AT19" s="228"/>
    </row>
    <row r="20" spans="1:46" s="108" customFormat="1">
      <c r="A20" s="315" t="s">
        <v>466</v>
      </c>
      <c r="B20" s="316">
        <v>1</v>
      </c>
      <c r="C20" s="317">
        <v>55</v>
      </c>
      <c r="D20" s="222">
        <f>Parameters!$B$68+Parameters!$D$68</f>
        <v>0.96699999999999997</v>
      </c>
      <c r="E20" s="222">
        <f>Parameters!$C$68</f>
        <v>3.3000000000000002E-2</v>
      </c>
      <c r="F20" s="318">
        <v>0</v>
      </c>
      <c r="G20" s="158">
        <v>0</v>
      </c>
      <c r="K20" s="76"/>
      <c r="O20" s="76"/>
      <c r="Q20" s="76"/>
      <c r="R20" s="76"/>
      <c r="U20" s="76"/>
      <c r="V20" s="76"/>
      <c r="W20" s="76"/>
      <c r="AM20" s="313"/>
      <c r="AN20" s="313"/>
      <c r="AP20" s="76"/>
      <c r="AQ20" s="76"/>
      <c r="AR20" s="76"/>
    </row>
    <row r="21" spans="1:46" s="108" customFormat="1">
      <c r="A21" s="319" t="s">
        <v>467</v>
      </c>
      <c r="B21" s="320">
        <v>2</v>
      </c>
      <c r="C21" s="321">
        <v>30</v>
      </c>
      <c r="D21" s="222">
        <f>Parameters!$B$68+Parameters!$D$68</f>
        <v>0.96699999999999997</v>
      </c>
      <c r="E21" s="222">
        <f>Parameters!$C$68</f>
        <v>3.3000000000000002E-2</v>
      </c>
      <c r="F21" s="322">
        <v>0</v>
      </c>
      <c r="G21" s="132">
        <v>0</v>
      </c>
      <c r="K21" s="76"/>
      <c r="O21" s="76"/>
      <c r="Q21" s="76"/>
      <c r="R21" s="76"/>
      <c r="U21" s="76"/>
      <c r="V21" s="76"/>
      <c r="W21" s="76"/>
      <c r="AM21" s="313"/>
      <c r="AN21" s="313"/>
      <c r="AP21" s="76"/>
      <c r="AQ21" s="76"/>
      <c r="AR21" s="76"/>
    </row>
    <row r="22" spans="1:46" s="108" customFormat="1">
      <c r="A22" s="319" t="s">
        <v>468</v>
      </c>
      <c r="B22" s="320">
        <v>3</v>
      </c>
      <c r="C22" s="321">
        <v>5</v>
      </c>
      <c r="D22" s="222">
        <f>Parameters!$B$68+Parameters!$D$68</f>
        <v>0.96699999999999997</v>
      </c>
      <c r="E22" s="222">
        <f>Parameters!$C$68</f>
        <v>3.3000000000000002E-2</v>
      </c>
      <c r="F22" s="322">
        <v>0</v>
      </c>
      <c r="G22" s="132">
        <v>0</v>
      </c>
      <c r="K22" s="76"/>
      <c r="O22" s="76"/>
      <c r="Q22" s="76"/>
      <c r="R22" s="76"/>
      <c r="U22" s="76"/>
      <c r="V22" s="76"/>
      <c r="W22" s="76"/>
      <c r="AM22" s="313"/>
      <c r="AN22" s="313"/>
      <c r="AP22" s="76"/>
      <c r="AQ22" s="76"/>
      <c r="AR22" s="76"/>
    </row>
    <row r="23" spans="1:46" s="108" customFormat="1">
      <c r="A23" s="319" t="s">
        <v>469</v>
      </c>
      <c r="B23" s="320">
        <v>4</v>
      </c>
      <c r="C23" s="323">
        <v>1000000000</v>
      </c>
      <c r="D23" s="222">
        <f>Parameters!$B$68+Parameters!$D$68</f>
        <v>0.96699999999999997</v>
      </c>
      <c r="E23" s="222">
        <f>Parameters!$C$68</f>
        <v>3.3000000000000002E-2</v>
      </c>
      <c r="F23" s="322">
        <v>0</v>
      </c>
      <c r="G23" s="132">
        <v>0</v>
      </c>
      <c r="K23" s="76"/>
      <c r="O23" s="76"/>
      <c r="Q23" s="76"/>
      <c r="R23" s="76"/>
      <c r="U23" s="76"/>
      <c r="V23" s="76"/>
      <c r="W23" s="76"/>
      <c r="AM23" s="313"/>
      <c r="AN23" s="313"/>
      <c r="AP23" s="76"/>
      <c r="AQ23" s="76"/>
      <c r="AR23" s="76"/>
    </row>
    <row r="24" spans="1:46" s="108" customFormat="1">
      <c r="A24" s="319" t="s">
        <v>470</v>
      </c>
      <c r="B24" s="320">
        <v>5</v>
      </c>
      <c r="C24" s="321">
        <v>10</v>
      </c>
      <c r="D24" s="222">
        <f>Parameters!$B$68+Parameters!$D$68</f>
        <v>0.96699999999999997</v>
      </c>
      <c r="E24" s="222">
        <f>Parameters!$C$68</f>
        <v>3.3000000000000002E-2</v>
      </c>
      <c r="F24" s="322">
        <v>0</v>
      </c>
      <c r="G24" s="132">
        <v>0</v>
      </c>
      <c r="K24" s="76"/>
      <c r="O24" s="76"/>
      <c r="Q24" s="76"/>
      <c r="R24" s="76"/>
      <c r="U24" s="76"/>
      <c r="V24" s="76"/>
      <c r="W24" s="76"/>
      <c r="AM24" s="313"/>
      <c r="AN24" s="313"/>
      <c r="AP24" s="76"/>
      <c r="AQ24" s="76"/>
      <c r="AR24" s="76"/>
    </row>
    <row r="25" spans="1:46" s="108" customFormat="1">
      <c r="A25" s="319" t="s">
        <v>471</v>
      </c>
      <c r="B25" s="320">
        <v>6</v>
      </c>
      <c r="C25" s="321">
        <v>30</v>
      </c>
      <c r="D25" s="222">
        <f>Parameters!$B$68+Parameters!$D$68</f>
        <v>0.96699999999999997</v>
      </c>
      <c r="E25" s="222">
        <f>Parameters!$C$68</f>
        <v>3.3000000000000002E-2</v>
      </c>
      <c r="F25" s="322">
        <v>0</v>
      </c>
      <c r="G25" s="132">
        <v>0</v>
      </c>
      <c r="K25" s="76"/>
      <c r="O25" s="76"/>
      <c r="Q25" s="76"/>
      <c r="R25" s="76"/>
      <c r="U25" s="76"/>
      <c r="V25" s="76"/>
      <c r="W25" s="76"/>
      <c r="AM25" s="313"/>
      <c r="AN25" s="313"/>
      <c r="AP25" s="76"/>
      <c r="AQ25" s="76"/>
      <c r="AR25" s="76"/>
    </row>
    <row r="26" spans="1:46" s="108" customFormat="1">
      <c r="A26" s="319" t="s">
        <v>472</v>
      </c>
      <c r="B26" s="320">
        <v>7</v>
      </c>
      <c r="C26" s="321">
        <v>55</v>
      </c>
      <c r="D26" s="222">
        <f>Parameters!$B$68+Parameters!$D$68</f>
        <v>0.96699999999999997</v>
      </c>
      <c r="E26" s="222">
        <f>Parameters!$C$68</f>
        <v>3.3000000000000002E-2</v>
      </c>
      <c r="F26" s="322">
        <v>0</v>
      </c>
      <c r="G26" s="132">
        <v>0</v>
      </c>
      <c r="K26" s="76"/>
      <c r="O26" s="76"/>
      <c r="Q26" s="76"/>
      <c r="R26" s="76"/>
      <c r="U26" s="76"/>
      <c r="V26" s="76"/>
      <c r="W26" s="76"/>
      <c r="AM26" s="313"/>
      <c r="AN26" s="313"/>
      <c r="AP26" s="76"/>
      <c r="AQ26" s="76"/>
      <c r="AR26" s="76"/>
    </row>
    <row r="27" spans="1:46" s="108" customFormat="1">
      <c r="A27" s="319" t="s">
        <v>473</v>
      </c>
      <c r="B27" s="320">
        <v>8</v>
      </c>
      <c r="C27" s="321">
        <v>10</v>
      </c>
      <c r="D27" s="222">
        <f>Parameters!$B$68+Parameters!$D$68</f>
        <v>0.96699999999999997</v>
      </c>
      <c r="E27" s="222">
        <f>Parameters!$C$68</f>
        <v>3.3000000000000002E-2</v>
      </c>
      <c r="F27" s="322">
        <v>0</v>
      </c>
      <c r="G27" s="132">
        <v>0</v>
      </c>
      <c r="K27" s="76"/>
      <c r="O27" s="76"/>
      <c r="Q27" s="76"/>
      <c r="R27" s="76"/>
      <c r="U27" s="76"/>
      <c r="V27" s="76"/>
      <c r="W27" s="76"/>
      <c r="AM27" s="313"/>
      <c r="AN27" s="313"/>
      <c r="AP27" s="76"/>
      <c r="AQ27" s="76"/>
      <c r="AR27" s="76"/>
    </row>
    <row r="28" spans="1:46" s="108" customFormat="1">
      <c r="A28" s="319" t="s">
        <v>474</v>
      </c>
      <c r="B28" s="320">
        <v>9</v>
      </c>
      <c r="C28" s="321">
        <v>10</v>
      </c>
      <c r="D28" s="222">
        <f>Parameters!$B$68+Parameters!$D$68</f>
        <v>0.96699999999999997</v>
      </c>
      <c r="E28" s="222">
        <f>Parameters!$C$68</f>
        <v>3.3000000000000002E-2</v>
      </c>
      <c r="F28" s="322">
        <v>0</v>
      </c>
      <c r="G28" s="132">
        <v>0</v>
      </c>
      <c r="K28" s="76"/>
      <c r="O28" s="76"/>
      <c r="Q28" s="76"/>
      <c r="R28" s="76"/>
      <c r="U28" s="76"/>
      <c r="V28" s="76"/>
      <c r="W28" s="76"/>
      <c r="AM28" s="313"/>
      <c r="AN28" s="313"/>
      <c r="AP28" s="76"/>
      <c r="AQ28" s="76"/>
      <c r="AR28" s="76"/>
    </row>
    <row r="29" spans="1:46" s="108" customFormat="1">
      <c r="A29" s="319" t="s">
        <v>475</v>
      </c>
      <c r="B29" s="320">
        <v>10</v>
      </c>
      <c r="C29" s="321">
        <v>10</v>
      </c>
      <c r="D29" s="222">
        <f>Parameters!$B$68+Parameters!$D$68</f>
        <v>0.96699999999999997</v>
      </c>
      <c r="E29" s="222">
        <f>Parameters!$C$68</f>
        <v>3.3000000000000002E-2</v>
      </c>
      <c r="F29" s="322">
        <v>0</v>
      </c>
      <c r="G29" s="132">
        <v>0</v>
      </c>
      <c r="K29" s="76"/>
      <c r="O29" s="76"/>
      <c r="Q29" s="76"/>
      <c r="R29" s="76"/>
      <c r="U29" s="76"/>
      <c r="V29" s="76"/>
      <c r="W29" s="76"/>
      <c r="AM29" s="313"/>
      <c r="AN29" s="313"/>
      <c r="AP29" s="76"/>
      <c r="AQ29" s="76"/>
      <c r="AR29" s="76"/>
    </row>
    <row r="30" spans="1:46" s="108" customFormat="1">
      <c r="A30" s="319" t="s">
        <v>476</v>
      </c>
      <c r="B30" s="320">
        <v>11</v>
      </c>
      <c r="C30" s="321">
        <v>10</v>
      </c>
      <c r="D30" s="222">
        <f>Parameters!$B$68+Parameters!$D$68</f>
        <v>0.96699999999999997</v>
      </c>
      <c r="E30" s="222">
        <f>Parameters!$C$68</f>
        <v>3.3000000000000002E-2</v>
      </c>
      <c r="F30" s="322">
        <v>0</v>
      </c>
      <c r="G30" s="132">
        <v>0</v>
      </c>
      <c r="K30" s="76"/>
      <c r="O30" s="76"/>
      <c r="Q30" s="76"/>
      <c r="R30" s="76"/>
      <c r="U30" s="76"/>
      <c r="V30" s="76"/>
      <c r="W30" s="76"/>
      <c r="AM30" s="313"/>
      <c r="AN30" s="313"/>
      <c r="AP30" s="76"/>
      <c r="AQ30" s="76"/>
      <c r="AR30" s="76"/>
    </row>
    <row r="31" spans="1:46" s="108" customFormat="1">
      <c r="A31" s="319" t="s">
        <v>477</v>
      </c>
      <c r="B31" s="320">
        <v>12</v>
      </c>
      <c r="C31" s="321">
        <v>10</v>
      </c>
      <c r="D31" s="222">
        <f>Parameters!$B$68+Parameters!$D$68</f>
        <v>0.96699999999999997</v>
      </c>
      <c r="E31" s="222">
        <f>Parameters!$C$68</f>
        <v>3.3000000000000002E-2</v>
      </c>
      <c r="F31" s="322">
        <v>0</v>
      </c>
      <c r="G31" s="132">
        <v>0</v>
      </c>
      <c r="K31" s="76"/>
      <c r="O31" s="76"/>
      <c r="Q31" s="324"/>
      <c r="R31" s="324"/>
      <c r="S31" s="324"/>
      <c r="U31" s="76"/>
      <c r="V31" s="76"/>
      <c r="W31" s="76"/>
      <c r="AM31" s="313"/>
      <c r="AN31" s="313"/>
      <c r="AP31" s="76"/>
      <c r="AQ31" s="76"/>
      <c r="AR31" s="76"/>
    </row>
    <row r="32" spans="1:46" s="108" customFormat="1">
      <c r="A32" s="319" t="s">
        <v>478</v>
      </c>
      <c r="B32" s="320">
        <v>13</v>
      </c>
      <c r="C32" s="321">
        <v>10</v>
      </c>
      <c r="D32" s="222">
        <f>Parameters!$B$68+Parameters!$D$68</f>
        <v>0.96699999999999997</v>
      </c>
      <c r="E32" s="222">
        <f>Parameters!$C$68</f>
        <v>3.3000000000000002E-2</v>
      </c>
      <c r="F32" s="322">
        <v>0</v>
      </c>
      <c r="G32" s="132">
        <v>0</v>
      </c>
      <c r="K32" s="76"/>
      <c r="P32" s="102"/>
      <c r="Q32" s="324"/>
      <c r="R32" s="324"/>
      <c r="S32" s="112"/>
      <c r="U32" s="76"/>
      <c r="V32" s="76"/>
      <c r="W32" s="76"/>
      <c r="AM32" s="313"/>
      <c r="AN32" s="313" t="s">
        <v>513</v>
      </c>
      <c r="AP32" s="76"/>
      <c r="AQ32" s="76"/>
      <c r="AR32" s="76"/>
    </row>
    <row r="33" spans="1:44" s="108" customFormat="1">
      <c r="A33" s="319" t="s">
        <v>497</v>
      </c>
      <c r="B33" s="320">
        <v>14</v>
      </c>
      <c r="C33" s="321">
        <v>10</v>
      </c>
      <c r="D33" s="222">
        <f>Parameters!$B$68+Parameters!$D$68</f>
        <v>0.96699999999999997</v>
      </c>
      <c r="E33" s="222">
        <f>Parameters!$C$68</f>
        <v>3.3000000000000002E-2</v>
      </c>
      <c r="F33" s="322">
        <v>0</v>
      </c>
      <c r="G33" s="132">
        <v>0</v>
      </c>
      <c r="K33" s="76"/>
      <c r="L33" s="324"/>
      <c r="M33" s="324"/>
      <c r="N33" s="324"/>
      <c r="O33" s="324"/>
      <c r="P33" s="324"/>
      <c r="Q33" s="324"/>
      <c r="R33" s="324"/>
      <c r="S33" s="324"/>
      <c r="U33" s="76"/>
      <c r="V33" s="76"/>
      <c r="W33" s="76"/>
      <c r="AM33" s="313"/>
      <c r="AN33" s="313"/>
      <c r="AP33" s="76"/>
      <c r="AQ33" s="76"/>
      <c r="AR33" s="76"/>
    </row>
    <row r="34" spans="1:44" s="108" customFormat="1">
      <c r="A34" s="319" t="s">
        <v>479</v>
      </c>
      <c r="B34" s="320">
        <v>15</v>
      </c>
      <c r="C34" s="321">
        <v>30</v>
      </c>
      <c r="D34" s="222">
        <f>Parameters!$B$68+Parameters!$D$68</f>
        <v>0.96699999999999997</v>
      </c>
      <c r="E34" s="222">
        <f>Parameters!$C$68</f>
        <v>3.3000000000000002E-2</v>
      </c>
      <c r="F34" s="322">
        <v>0</v>
      </c>
      <c r="G34" s="132">
        <v>0</v>
      </c>
      <c r="K34" s="76"/>
      <c r="L34" s="324"/>
      <c r="M34" s="324"/>
      <c r="N34" s="324"/>
      <c r="O34" s="324"/>
      <c r="P34" s="324"/>
      <c r="Q34" s="324"/>
      <c r="R34" s="324"/>
      <c r="S34" s="324"/>
      <c r="U34" s="76"/>
      <c r="V34" s="76"/>
      <c r="W34" s="76"/>
      <c r="AM34" s="313"/>
      <c r="AN34" s="313"/>
      <c r="AP34" s="76"/>
      <c r="AQ34" s="76"/>
      <c r="AR34" s="76"/>
    </row>
    <row r="35" spans="1:44" s="108" customFormat="1">
      <c r="A35" s="319" t="s">
        <v>498</v>
      </c>
      <c r="B35" s="320">
        <v>16</v>
      </c>
      <c r="C35" s="321">
        <v>30</v>
      </c>
      <c r="D35" s="182">
        <v>0.23</v>
      </c>
      <c r="E35" s="183">
        <v>0</v>
      </c>
      <c r="F35" s="322">
        <v>0</v>
      </c>
      <c r="G35" s="132">
        <v>0</v>
      </c>
      <c r="K35" s="76"/>
      <c r="L35" s="324"/>
      <c r="M35" s="324"/>
      <c r="N35" s="324"/>
      <c r="O35" s="324"/>
      <c r="P35" s="324"/>
      <c r="Q35" s="324"/>
      <c r="R35" s="324"/>
      <c r="S35" s="324"/>
      <c r="U35" s="76"/>
      <c r="V35" s="76"/>
      <c r="W35" s="76"/>
      <c r="AM35" s="313"/>
      <c r="AN35" s="313"/>
      <c r="AP35" s="76"/>
      <c r="AQ35" s="76"/>
      <c r="AR35" s="76"/>
    </row>
    <row r="36" spans="1:44" s="108" customFormat="1">
      <c r="A36" s="319" t="s">
        <v>480</v>
      </c>
      <c r="B36" s="320">
        <v>17</v>
      </c>
      <c r="C36" s="321">
        <v>30</v>
      </c>
      <c r="D36" s="182">
        <v>0</v>
      </c>
      <c r="E36" s="183">
        <v>0</v>
      </c>
      <c r="F36" s="322">
        <v>1</v>
      </c>
      <c r="G36" s="132">
        <v>0</v>
      </c>
      <c r="K36" s="76"/>
      <c r="L36" s="324"/>
      <c r="M36" s="324"/>
      <c r="N36" s="324"/>
      <c r="O36" s="324"/>
      <c r="P36" s="324"/>
      <c r="Q36" s="324"/>
      <c r="R36" s="324"/>
      <c r="S36" s="324"/>
      <c r="U36" s="76"/>
      <c r="V36" s="76"/>
      <c r="W36" s="76"/>
      <c r="AM36" s="313"/>
      <c r="AN36" s="313"/>
      <c r="AP36" s="76"/>
      <c r="AQ36" s="76"/>
      <c r="AR36" s="76"/>
    </row>
    <row r="37" spans="1:44" s="108" customFormat="1">
      <c r="A37" s="319" t="s">
        <v>481</v>
      </c>
      <c r="B37" s="320">
        <v>18</v>
      </c>
      <c r="C37" s="321">
        <v>30</v>
      </c>
      <c r="D37" s="222">
        <f>Parameters!$B$68+Parameters!$D$68</f>
        <v>0.96699999999999997</v>
      </c>
      <c r="E37" s="222">
        <f>Parameters!$C$68</f>
        <v>3.3000000000000002E-2</v>
      </c>
      <c r="F37" s="322">
        <v>0</v>
      </c>
      <c r="G37" s="132">
        <v>0</v>
      </c>
      <c r="K37" s="76"/>
      <c r="L37" s="324"/>
      <c r="M37" s="324"/>
      <c r="N37" s="324"/>
      <c r="O37" s="324"/>
      <c r="P37" s="324"/>
      <c r="Q37" s="324"/>
      <c r="R37" s="324"/>
      <c r="S37" s="324"/>
      <c r="U37" s="76"/>
      <c r="V37" s="76"/>
      <c r="W37" s="76"/>
      <c r="AM37" s="313"/>
      <c r="AN37" s="313"/>
      <c r="AP37" s="76"/>
      <c r="AQ37" s="76"/>
      <c r="AR37" s="76"/>
    </row>
    <row r="38" spans="1:44" s="108" customFormat="1">
      <c r="A38" s="319" t="s">
        <v>482</v>
      </c>
      <c r="B38" s="320">
        <v>19</v>
      </c>
      <c r="C38" s="321">
        <v>30</v>
      </c>
      <c r="D38" s="222">
        <f>Parameters!$B$68+Parameters!$D$68</f>
        <v>0.96699999999999997</v>
      </c>
      <c r="E38" s="222">
        <f>Parameters!$C$68</f>
        <v>3.3000000000000002E-2</v>
      </c>
      <c r="F38" s="322">
        <v>0</v>
      </c>
      <c r="G38" s="132">
        <v>0</v>
      </c>
      <c r="K38" s="76"/>
      <c r="L38" s="324"/>
      <c r="M38" s="324"/>
      <c r="N38" s="324"/>
      <c r="O38" s="324"/>
      <c r="P38" s="324"/>
      <c r="Q38" s="324"/>
      <c r="R38" s="324"/>
      <c r="S38" s="324"/>
      <c r="U38" s="76"/>
      <c r="V38" s="76"/>
      <c r="W38" s="76"/>
      <c r="AM38" s="313"/>
      <c r="AN38" s="313"/>
      <c r="AP38" s="76"/>
      <c r="AQ38" s="76"/>
      <c r="AR38" s="76"/>
    </row>
    <row r="39" spans="1:44" s="108" customFormat="1">
      <c r="A39" s="319" t="s">
        <v>483</v>
      </c>
      <c r="B39" s="320">
        <v>20</v>
      </c>
      <c r="C39" s="321">
        <v>30</v>
      </c>
      <c r="D39" s="222">
        <f>Parameters!$B$68+Parameters!$D$68</f>
        <v>0.96699999999999997</v>
      </c>
      <c r="E39" s="222">
        <f>Parameters!$C$68</f>
        <v>3.3000000000000002E-2</v>
      </c>
      <c r="F39" s="322">
        <v>0</v>
      </c>
      <c r="G39" s="132">
        <v>0</v>
      </c>
      <c r="H39" s="108" t="s">
        <v>513</v>
      </c>
      <c r="K39" s="76"/>
      <c r="L39" s="324"/>
      <c r="M39" s="324"/>
      <c r="N39" s="324"/>
      <c r="O39" s="324"/>
      <c r="P39" s="324"/>
      <c r="Q39" s="324"/>
      <c r="R39" s="324"/>
      <c r="S39" s="324"/>
      <c r="U39" s="76"/>
      <c r="V39" s="76"/>
      <c r="W39" s="76"/>
      <c r="AM39" s="313"/>
      <c r="AN39" s="313"/>
      <c r="AP39" s="76"/>
      <c r="AQ39" s="76"/>
      <c r="AR39" s="76"/>
    </row>
    <row r="40" spans="1:44" s="108" customFormat="1">
      <c r="A40" s="319" t="s">
        <v>499</v>
      </c>
      <c r="B40" s="320">
        <v>21</v>
      </c>
      <c r="C40" s="321">
        <v>55</v>
      </c>
      <c r="D40" s="222">
        <f>Parameters!$B$68+Parameters!$D$68</f>
        <v>0.96699999999999997</v>
      </c>
      <c r="E40" s="222">
        <f>Parameters!$C$68</f>
        <v>3.3000000000000002E-2</v>
      </c>
      <c r="F40" s="322">
        <v>0</v>
      </c>
      <c r="G40" s="132">
        <v>0</v>
      </c>
      <c r="K40" s="76"/>
      <c r="L40" s="324"/>
      <c r="M40" s="324"/>
      <c r="N40" s="324"/>
      <c r="O40" s="324"/>
      <c r="P40" s="324"/>
      <c r="Q40" s="324"/>
      <c r="R40" s="324"/>
      <c r="S40" s="324"/>
      <c r="U40" s="76"/>
      <c r="V40" s="76"/>
      <c r="W40" s="76"/>
      <c r="AM40" s="313"/>
      <c r="AN40" s="313"/>
      <c r="AP40" s="76"/>
      <c r="AQ40" s="76"/>
      <c r="AR40" s="76"/>
    </row>
    <row r="41" spans="1:44" s="108" customFormat="1">
      <c r="A41" s="319" t="s">
        <v>484</v>
      </c>
      <c r="B41" s="320">
        <v>22</v>
      </c>
      <c r="C41" s="321">
        <v>55</v>
      </c>
      <c r="D41" s="222">
        <f>Parameters!$B$68+Parameters!$D$68</f>
        <v>0.96699999999999997</v>
      </c>
      <c r="E41" s="222">
        <f>Parameters!$C$68</f>
        <v>3.3000000000000002E-2</v>
      </c>
      <c r="F41" s="322">
        <v>0</v>
      </c>
      <c r="G41" s="132">
        <v>0</v>
      </c>
      <c r="K41" s="76"/>
      <c r="L41" s="324"/>
      <c r="M41" s="324"/>
      <c r="N41" s="324"/>
      <c r="O41" s="324"/>
      <c r="P41" s="324"/>
      <c r="Q41" s="324"/>
      <c r="R41" s="324"/>
      <c r="S41" s="324"/>
      <c r="U41" s="76"/>
      <c r="V41" s="76"/>
      <c r="W41" s="76"/>
      <c r="AM41" s="313"/>
      <c r="AN41" s="313"/>
      <c r="AP41" s="76"/>
      <c r="AQ41" s="76"/>
      <c r="AR41" s="76"/>
    </row>
    <row r="42" spans="1:44" s="108" customFormat="1">
      <c r="A42" s="319" t="s">
        <v>485</v>
      </c>
      <c r="B42" s="320">
        <v>23</v>
      </c>
      <c r="C42" s="321">
        <v>55</v>
      </c>
      <c r="D42" s="222">
        <f>Parameters!$B$68+Parameters!$D$68</f>
        <v>0.96699999999999997</v>
      </c>
      <c r="E42" s="222">
        <f>Parameters!$C$68</f>
        <v>3.3000000000000002E-2</v>
      </c>
      <c r="F42" s="322">
        <v>0</v>
      </c>
      <c r="G42" s="132">
        <v>0</v>
      </c>
      <c r="K42" s="76"/>
      <c r="L42" s="324"/>
      <c r="M42" s="324"/>
      <c r="N42" s="324"/>
      <c r="O42" s="324"/>
      <c r="P42" s="324"/>
      <c r="Q42" s="324"/>
      <c r="R42" s="324"/>
      <c r="S42" s="324"/>
      <c r="U42" s="76"/>
      <c r="V42" s="76"/>
      <c r="W42" s="76"/>
      <c r="AM42" s="313"/>
      <c r="AN42" s="313"/>
      <c r="AP42" s="76"/>
      <c r="AQ42" s="76"/>
      <c r="AR42" s="76"/>
    </row>
    <row r="43" spans="1:44" s="108" customFormat="1">
      <c r="A43" s="319" t="s">
        <v>486</v>
      </c>
      <c r="B43" s="320">
        <v>32</v>
      </c>
      <c r="C43" s="321">
        <v>30</v>
      </c>
      <c r="D43" s="222">
        <f>Parameters!$B$68+Parameters!$D$68</f>
        <v>0.96699999999999997</v>
      </c>
      <c r="E43" s="222">
        <f>Parameters!$C$68</f>
        <v>3.3000000000000002E-2</v>
      </c>
      <c r="F43" s="322">
        <v>0</v>
      </c>
      <c r="G43" s="132">
        <v>0</v>
      </c>
      <c r="K43" s="76"/>
      <c r="L43" s="324"/>
      <c r="M43" s="324"/>
      <c r="N43" s="324"/>
      <c r="O43" s="324"/>
      <c r="P43" s="324"/>
      <c r="Q43" s="324"/>
      <c r="R43" s="324"/>
      <c r="S43" s="324"/>
      <c r="U43" s="76"/>
      <c r="V43" s="76"/>
      <c r="W43" s="76"/>
      <c r="AJ43" s="324"/>
      <c r="AK43" s="324"/>
      <c r="AL43" s="324"/>
      <c r="AM43" s="313"/>
      <c r="AN43" s="313"/>
      <c r="AP43" s="76"/>
      <c r="AQ43" s="76"/>
      <c r="AR43" s="76"/>
    </row>
    <row r="44" spans="1:44" s="108" customFormat="1">
      <c r="A44" s="319" t="s">
        <v>487</v>
      </c>
      <c r="B44" s="320">
        <v>33</v>
      </c>
      <c r="C44" s="321">
        <v>30</v>
      </c>
      <c r="D44" s="222">
        <f>Parameters!$B$68+Parameters!$D$68</f>
        <v>0.96699999999999997</v>
      </c>
      <c r="E44" s="222">
        <f>Parameters!$C$68</f>
        <v>3.3000000000000002E-2</v>
      </c>
      <c r="F44" s="322">
        <v>0</v>
      </c>
      <c r="G44" s="132">
        <v>0</v>
      </c>
      <c r="I44" s="108" t="s">
        <v>513</v>
      </c>
      <c r="K44" s="76"/>
      <c r="L44" s="324"/>
      <c r="M44" s="324"/>
      <c r="N44" s="324"/>
      <c r="O44" s="324"/>
      <c r="P44" s="324"/>
      <c r="Q44" s="324"/>
      <c r="R44" s="324"/>
      <c r="S44" s="324"/>
      <c r="U44" s="76"/>
      <c r="V44" s="76"/>
      <c r="W44" s="76"/>
      <c r="AM44" s="313"/>
      <c r="AN44" s="313"/>
      <c r="AP44" s="76"/>
      <c r="AQ44" s="76"/>
      <c r="AR44" s="76"/>
    </row>
    <row r="45" spans="1:44" s="108" customFormat="1">
      <c r="A45" s="319" t="s">
        <v>488</v>
      </c>
      <c r="B45" s="320">
        <v>34</v>
      </c>
      <c r="C45" s="321">
        <v>30</v>
      </c>
      <c r="D45" s="222">
        <f>Parameters!$B$68+Parameters!$D$68</f>
        <v>0.96699999999999997</v>
      </c>
      <c r="E45" s="222">
        <f>Parameters!$C$68</f>
        <v>3.3000000000000002E-2</v>
      </c>
      <c r="F45" s="322">
        <v>0</v>
      </c>
      <c r="G45" s="132">
        <v>0</v>
      </c>
      <c r="K45" s="76"/>
      <c r="L45" s="324"/>
      <c r="M45" s="324"/>
      <c r="N45" s="324"/>
      <c r="O45" s="324"/>
      <c r="P45" s="324"/>
      <c r="Q45" s="324"/>
      <c r="R45" s="324"/>
      <c r="S45" s="324"/>
      <c r="U45" s="76"/>
      <c r="V45" s="76"/>
      <c r="W45" s="76"/>
      <c r="AJ45" s="112"/>
      <c r="AK45" s="112"/>
      <c r="AL45" s="112"/>
      <c r="AM45" s="313"/>
      <c r="AN45" s="313"/>
      <c r="AP45" s="76"/>
      <c r="AQ45" s="76"/>
      <c r="AR45" s="76"/>
    </row>
    <row r="46" spans="1:44" s="108" customFormat="1">
      <c r="A46" s="319" t="s">
        <v>489</v>
      </c>
      <c r="B46" s="320">
        <v>35</v>
      </c>
      <c r="C46" s="321">
        <v>30</v>
      </c>
      <c r="D46" s="222">
        <f>Parameters!$B$68+Parameters!$D$68</f>
        <v>0.96699999999999997</v>
      </c>
      <c r="E46" s="222">
        <f>Parameters!$C$68</f>
        <v>3.3000000000000002E-2</v>
      </c>
      <c r="F46" s="322">
        <v>0</v>
      </c>
      <c r="G46" s="132">
        <v>0</v>
      </c>
      <c r="K46" s="76"/>
      <c r="L46" s="324"/>
      <c r="M46" s="324"/>
      <c r="N46" s="324"/>
      <c r="O46" s="324"/>
      <c r="P46" s="324"/>
      <c r="Q46" s="324"/>
      <c r="R46" s="324"/>
      <c r="S46" s="324"/>
      <c r="U46" s="76"/>
      <c r="V46" s="76"/>
      <c r="W46" s="76"/>
      <c r="AM46" s="313"/>
      <c r="AN46" s="313"/>
      <c r="AP46" s="76"/>
      <c r="AQ46" s="76"/>
      <c r="AR46" s="76"/>
    </row>
    <row r="47" spans="1:44" s="108" customFormat="1">
      <c r="A47" s="319" t="s">
        <v>490</v>
      </c>
      <c r="B47" s="320">
        <v>36</v>
      </c>
      <c r="C47" s="321">
        <v>30</v>
      </c>
      <c r="D47" s="182">
        <v>0</v>
      </c>
      <c r="E47" s="183">
        <v>0</v>
      </c>
      <c r="F47" s="322">
        <v>1</v>
      </c>
      <c r="G47" s="132">
        <v>0</v>
      </c>
      <c r="K47" s="76"/>
      <c r="L47" s="324"/>
      <c r="M47" s="324"/>
      <c r="N47" s="324"/>
      <c r="O47" s="324"/>
      <c r="P47" s="324"/>
      <c r="Q47" s="324"/>
      <c r="R47" s="324"/>
      <c r="S47" s="324"/>
      <c r="U47" s="76"/>
      <c r="V47" s="76"/>
      <c r="W47" s="76"/>
      <c r="AE47" s="112"/>
      <c r="AJ47" s="324"/>
      <c r="AK47" s="324"/>
      <c r="AL47" s="324"/>
      <c r="AM47" s="313"/>
      <c r="AN47" s="313"/>
      <c r="AP47" s="76"/>
      <c r="AQ47" s="76"/>
      <c r="AR47" s="76"/>
    </row>
    <row r="48" spans="1:44" s="108" customFormat="1">
      <c r="A48" s="319" t="s">
        <v>518</v>
      </c>
      <c r="B48" s="320">
        <v>37</v>
      </c>
      <c r="C48" s="321">
        <v>5</v>
      </c>
      <c r="D48" s="222">
        <f>Parameters!$B$68+Parameters!$D$68</f>
        <v>0.96699999999999997</v>
      </c>
      <c r="E48" s="222">
        <f>Parameters!$C$68</f>
        <v>3.3000000000000002E-2</v>
      </c>
      <c r="F48" s="322">
        <v>0</v>
      </c>
      <c r="G48" s="132">
        <v>0</v>
      </c>
      <c r="I48" s="104"/>
      <c r="K48" s="76"/>
      <c r="L48" s="324"/>
      <c r="M48" s="324"/>
      <c r="N48" s="324"/>
      <c r="O48" s="324"/>
      <c r="P48" s="324"/>
      <c r="Q48" s="324"/>
      <c r="R48" s="324"/>
      <c r="S48" s="324"/>
      <c r="U48" s="76"/>
      <c r="V48" s="76"/>
      <c r="W48" s="76"/>
      <c r="AM48" s="313"/>
      <c r="AN48" s="313"/>
      <c r="AP48" s="76"/>
      <c r="AQ48" s="76"/>
      <c r="AR48" s="76"/>
    </row>
    <row r="49" spans="1:45" s="108" customFormat="1">
      <c r="A49" s="319" t="s">
        <v>519</v>
      </c>
      <c r="B49" s="320">
        <v>38</v>
      </c>
      <c r="C49" s="321">
        <v>10</v>
      </c>
      <c r="D49" s="222">
        <f>Parameters!$B$68+Parameters!$D$68</f>
        <v>0.96699999999999997</v>
      </c>
      <c r="E49" s="222">
        <f>Parameters!$C$68</f>
        <v>3.3000000000000002E-2</v>
      </c>
      <c r="F49" s="322">
        <v>0</v>
      </c>
      <c r="G49" s="132">
        <v>0</v>
      </c>
      <c r="K49" s="76"/>
      <c r="L49" s="324"/>
      <c r="M49" s="324"/>
      <c r="N49" s="324"/>
      <c r="O49" s="324"/>
      <c r="P49" s="324"/>
      <c r="Q49" s="324"/>
      <c r="R49" s="324"/>
      <c r="S49" s="324"/>
      <c r="U49" s="76"/>
      <c r="V49" s="76"/>
      <c r="W49" s="76"/>
      <c r="AM49" s="313"/>
      <c r="AN49" s="313"/>
      <c r="AP49" s="76"/>
      <c r="AQ49" s="76"/>
      <c r="AR49" s="76"/>
    </row>
    <row r="50" spans="1:45" s="108" customFormat="1">
      <c r="A50" s="319" t="s">
        <v>520</v>
      </c>
      <c r="B50" s="320">
        <v>39</v>
      </c>
      <c r="C50" s="321">
        <v>15</v>
      </c>
      <c r="D50" s="222">
        <f>Parameters!$B$68+Parameters!$D$68</f>
        <v>0.96699999999999997</v>
      </c>
      <c r="E50" s="222">
        <f>Parameters!$C$68</f>
        <v>3.3000000000000002E-2</v>
      </c>
      <c r="F50" s="322">
        <v>0</v>
      </c>
      <c r="G50" s="132">
        <v>0</v>
      </c>
      <c r="I50" s="103"/>
      <c r="K50" s="76"/>
      <c r="L50" s="324"/>
      <c r="M50" s="324"/>
      <c r="N50" s="324"/>
      <c r="O50" s="324"/>
      <c r="P50" s="324"/>
      <c r="Q50" s="324"/>
      <c r="R50" s="324"/>
      <c r="S50" s="324"/>
      <c r="U50" s="76"/>
      <c r="V50" s="76"/>
      <c r="W50" s="76"/>
      <c r="AM50" s="313"/>
      <c r="AN50" s="313"/>
      <c r="AP50" s="76"/>
      <c r="AQ50" s="76"/>
      <c r="AR50" s="76"/>
    </row>
    <row r="51" spans="1:45" s="108" customFormat="1">
      <c r="A51" s="164" t="s">
        <v>622</v>
      </c>
      <c r="B51" s="117">
        <v>40</v>
      </c>
      <c r="C51" s="118">
        <v>55</v>
      </c>
      <c r="D51" s="184">
        <v>0</v>
      </c>
      <c r="E51" s="183">
        <v>0</v>
      </c>
      <c r="F51" s="119">
        <v>0</v>
      </c>
      <c r="G51" s="132">
        <v>1</v>
      </c>
      <c r="J51" s="76"/>
      <c r="K51" s="76"/>
      <c r="L51" s="324"/>
      <c r="M51" s="324"/>
      <c r="N51" s="324"/>
      <c r="O51" s="324"/>
      <c r="P51" s="324"/>
      <c r="Q51" s="324"/>
      <c r="R51" s="324"/>
      <c r="S51" s="324"/>
      <c r="U51" s="76"/>
      <c r="V51" s="76"/>
      <c r="W51" s="76"/>
      <c r="AM51" s="313"/>
      <c r="AN51" s="313"/>
      <c r="AP51" s="76"/>
      <c r="AQ51" s="76"/>
      <c r="AR51" s="76"/>
    </row>
    <row r="52" spans="1:45" s="108" customFormat="1">
      <c r="A52" s="164" t="s">
        <v>623</v>
      </c>
      <c r="B52" s="117">
        <v>41</v>
      </c>
      <c r="C52" s="118">
        <v>30</v>
      </c>
      <c r="D52" s="184">
        <v>0</v>
      </c>
      <c r="E52" s="183">
        <v>0</v>
      </c>
      <c r="F52" s="119">
        <v>1</v>
      </c>
      <c r="G52" s="132">
        <v>0</v>
      </c>
      <c r="I52" s="103"/>
      <c r="J52" s="76"/>
      <c r="K52" s="76"/>
      <c r="L52" s="324"/>
      <c r="M52" s="324"/>
      <c r="N52" s="324"/>
      <c r="O52" s="324"/>
      <c r="P52" s="324"/>
      <c r="Q52" s="324"/>
      <c r="R52" s="324"/>
      <c r="S52" s="324"/>
      <c r="U52" s="76"/>
      <c r="V52" s="76"/>
      <c r="W52" s="76"/>
      <c r="AM52" s="313"/>
      <c r="AN52" s="313"/>
      <c r="AP52" s="76"/>
      <c r="AQ52" s="76"/>
      <c r="AR52" s="76"/>
    </row>
    <row r="53" spans="1:45" s="108" customFormat="1">
      <c r="A53" s="165" t="s">
        <v>521</v>
      </c>
      <c r="B53" s="117">
        <v>42</v>
      </c>
      <c r="C53" s="120">
        <v>1000000000</v>
      </c>
      <c r="D53" s="222">
        <f>Parameters!$B$68+Parameters!$D$68</f>
        <v>0.96699999999999997</v>
      </c>
      <c r="E53" s="222">
        <f>Parameters!$C$68</f>
        <v>3.3000000000000002E-2</v>
      </c>
      <c r="F53" s="119">
        <v>0</v>
      </c>
      <c r="G53" s="132">
        <v>0</v>
      </c>
      <c r="J53" s="76"/>
      <c r="K53" s="76"/>
      <c r="L53" s="436"/>
      <c r="O53" s="76"/>
      <c r="Q53" s="436"/>
      <c r="R53" s="76"/>
      <c r="U53" s="76"/>
      <c r="V53" s="76"/>
      <c r="W53" s="76"/>
      <c r="AM53" s="313"/>
      <c r="AN53" s="313"/>
      <c r="AP53" s="76"/>
      <c r="AQ53" s="76"/>
      <c r="AR53" s="76"/>
    </row>
    <row r="54" spans="1:45" s="108" customFormat="1">
      <c r="A54" s="164" t="s">
        <v>522</v>
      </c>
      <c r="B54" s="117">
        <v>43</v>
      </c>
      <c r="C54" s="120">
        <v>1000000000</v>
      </c>
      <c r="D54" s="184">
        <v>0</v>
      </c>
      <c r="E54" s="183">
        <v>0</v>
      </c>
      <c r="F54" s="119">
        <v>1</v>
      </c>
      <c r="G54" s="132">
        <v>0</v>
      </c>
      <c r="I54" s="103"/>
      <c r="K54" s="76"/>
      <c r="O54" s="76"/>
      <c r="P54" s="76"/>
      <c r="Q54" s="76"/>
      <c r="R54" s="76"/>
      <c r="U54" s="76"/>
      <c r="V54" s="435"/>
      <c r="W54" s="435"/>
      <c r="AH54" s="123"/>
      <c r="AJ54" s="103"/>
      <c r="AM54" s="313"/>
      <c r="AN54" s="313"/>
      <c r="AP54" s="76"/>
      <c r="AQ54" s="76"/>
      <c r="AR54" s="76"/>
    </row>
    <row r="55" spans="1:45" s="102" customFormat="1">
      <c r="A55" s="128"/>
      <c r="K55" s="72"/>
      <c r="O55" s="72"/>
      <c r="Q55" s="167"/>
      <c r="R55" s="167"/>
      <c r="T55" s="166"/>
      <c r="U55" s="166"/>
      <c r="V55" s="166"/>
      <c r="W55" s="166"/>
      <c r="AF55" s="72"/>
      <c r="AG55" s="104"/>
      <c r="AM55" s="251"/>
      <c r="AN55" s="251"/>
      <c r="AP55" s="72"/>
      <c r="AQ55" s="72"/>
      <c r="AR55" s="72"/>
    </row>
    <row r="56" spans="1:45" s="49" customFormat="1">
      <c r="A56" s="172"/>
      <c r="C56" s="418"/>
      <c r="D56" s="418"/>
      <c r="E56" s="1273"/>
      <c r="K56" s="72"/>
      <c r="O56" s="72"/>
      <c r="R56" s="72"/>
      <c r="U56" s="72"/>
      <c r="Y56" s="444"/>
      <c r="Z56" s="444"/>
      <c r="AA56" s="444"/>
      <c r="AB56" s="102"/>
      <c r="AC56" s="102"/>
      <c r="AD56" s="102"/>
      <c r="AE56" s="102"/>
      <c r="AM56" s="254"/>
      <c r="AN56" s="253"/>
      <c r="AP56" s="81"/>
      <c r="AQ56" s="81"/>
      <c r="AR56" s="81"/>
    </row>
    <row r="57" spans="1:45" s="216" customFormat="1">
      <c r="A57" s="1068" t="s">
        <v>1011</v>
      </c>
      <c r="B57" s="133"/>
      <c r="C57" s="133"/>
      <c r="D57" s="133"/>
      <c r="E57" s="133"/>
      <c r="F57" s="962" t="s">
        <v>700</v>
      </c>
      <c r="G57" s="446" t="s">
        <v>708</v>
      </c>
      <c r="H57" s="428" t="s">
        <v>702</v>
      </c>
      <c r="I57" s="428" t="s">
        <v>704</v>
      </c>
      <c r="J57" s="1436" t="s">
        <v>675</v>
      </c>
      <c r="K57" s="1437"/>
      <c r="L57" s="1438"/>
      <c r="M57" s="1433" t="s">
        <v>672</v>
      </c>
      <c r="N57" s="1434"/>
      <c r="O57" s="1434"/>
      <c r="P57" s="1435"/>
      <c r="Q57" s="870" t="s">
        <v>668</v>
      </c>
      <c r="R57" s="1442" t="s">
        <v>706</v>
      </c>
      <c r="S57" s="1434"/>
      <c r="T57" s="1434"/>
      <c r="U57" s="1443"/>
      <c r="V57" s="967" t="s">
        <v>663</v>
      </c>
      <c r="W57" s="1439" t="s">
        <v>673</v>
      </c>
      <c r="X57" s="1439"/>
      <c r="Y57" s="1439"/>
      <c r="Z57" s="1439"/>
      <c r="AA57" s="1440" t="s">
        <v>6</v>
      </c>
      <c r="AB57" s="1439"/>
      <c r="AC57" s="1439"/>
      <c r="AD57" s="1441"/>
      <c r="AE57" s="491"/>
      <c r="AF57" s="1433" t="s">
        <v>671</v>
      </c>
      <c r="AG57" s="1434"/>
      <c r="AH57" s="1434"/>
      <c r="AI57" s="1435"/>
      <c r="AJ57" s="1433" t="s">
        <v>674</v>
      </c>
      <c r="AK57" s="1434"/>
      <c r="AL57" s="1434"/>
      <c r="AM57" s="1435"/>
      <c r="AN57" s="548" t="s">
        <v>664</v>
      </c>
      <c r="AO57" s="963" t="s">
        <v>693</v>
      </c>
      <c r="AP57" s="964" t="s">
        <v>712</v>
      </c>
      <c r="AQ57" s="964" t="s">
        <v>713</v>
      </c>
      <c r="AR57" s="964" t="s">
        <v>694</v>
      </c>
      <c r="AS57" s="965" t="s">
        <v>695</v>
      </c>
    </row>
    <row r="58" spans="1:45" s="216" customFormat="1">
      <c r="A58" s="175" t="s">
        <v>1012</v>
      </c>
      <c r="B58" s="133"/>
      <c r="C58" s="133"/>
      <c r="D58" s="133"/>
      <c r="E58" s="133"/>
      <c r="F58" s="962"/>
      <c r="G58" s="446" t="s">
        <v>678</v>
      </c>
      <c r="H58" s="491" t="s">
        <v>1010</v>
      </c>
      <c r="I58" s="551" t="s">
        <v>703</v>
      </c>
      <c r="J58" s="549"/>
      <c r="K58" s="450"/>
      <c r="L58" s="550"/>
      <c r="M58" s="869">
        <v>2013</v>
      </c>
      <c r="N58" s="870">
        <v>2014</v>
      </c>
      <c r="O58" s="870">
        <v>2015</v>
      </c>
      <c r="P58" s="871">
        <v>2016</v>
      </c>
      <c r="Q58" s="396"/>
      <c r="R58" s="872">
        <v>2013</v>
      </c>
      <c r="S58" s="870">
        <v>2014</v>
      </c>
      <c r="T58" s="870">
        <v>2015</v>
      </c>
      <c r="U58" s="873">
        <v>2016</v>
      </c>
      <c r="V58" s="967"/>
      <c r="W58" s="428">
        <v>2013</v>
      </c>
      <c r="X58" s="428">
        <v>2014</v>
      </c>
      <c r="Y58" s="491">
        <v>2015</v>
      </c>
      <c r="Z58" s="491">
        <v>2016</v>
      </c>
      <c r="AA58" s="543">
        <v>2013</v>
      </c>
      <c r="AB58" s="428">
        <v>2014</v>
      </c>
      <c r="AC58" s="491">
        <v>2015</v>
      </c>
      <c r="AD58" s="544">
        <v>2016</v>
      </c>
      <c r="AE58" s="442" t="s">
        <v>670</v>
      </c>
      <c r="AF58" s="961">
        <v>2013</v>
      </c>
      <c r="AG58" s="962">
        <v>2014</v>
      </c>
      <c r="AH58" s="962">
        <v>2015</v>
      </c>
      <c r="AI58" s="963">
        <v>2016</v>
      </c>
      <c r="AJ58" s="547">
        <v>2013</v>
      </c>
      <c r="AK58" s="441">
        <v>2014</v>
      </c>
      <c r="AL58" s="441">
        <v>2015</v>
      </c>
      <c r="AM58" s="544">
        <v>2016</v>
      </c>
      <c r="AN58" s="548"/>
      <c r="AO58" s="963"/>
      <c r="AP58" s="962" t="s">
        <v>714</v>
      </c>
      <c r="AQ58" s="962" t="s">
        <v>1013</v>
      </c>
      <c r="AR58" s="962"/>
      <c r="AS58" s="963"/>
    </row>
    <row r="59" spans="1:45" s="44" customFormat="1" ht="25.5">
      <c r="A59" s="175" t="s">
        <v>457</v>
      </c>
      <c r="B59" s="133" t="s">
        <v>491</v>
      </c>
      <c r="C59" s="133" t="s">
        <v>492</v>
      </c>
      <c r="D59" s="133" t="s">
        <v>493</v>
      </c>
      <c r="E59" s="133" t="s">
        <v>465</v>
      </c>
      <c r="F59" s="441"/>
      <c r="G59" s="551" t="s">
        <v>679</v>
      </c>
      <c r="H59" s="491" t="s">
        <v>679</v>
      </c>
      <c r="I59" s="553"/>
      <c r="J59" s="554" t="s">
        <v>680</v>
      </c>
      <c r="K59" s="555" t="s">
        <v>676</v>
      </c>
      <c r="L59" s="556" t="s">
        <v>677</v>
      </c>
      <c r="M59" s="557"/>
      <c r="N59" s="558"/>
      <c r="O59" s="558"/>
      <c r="P59" s="559"/>
      <c r="Q59" s="560"/>
      <c r="R59" s="561" t="s">
        <v>705</v>
      </c>
      <c r="S59" s="491" t="s">
        <v>705</v>
      </c>
      <c r="T59" s="491" t="s">
        <v>705</v>
      </c>
      <c r="U59" s="562" t="s">
        <v>705</v>
      </c>
      <c r="V59" s="704" t="s">
        <v>1014</v>
      </c>
      <c r="W59" s="564"/>
      <c r="X59" s="564"/>
      <c r="Y59" s="564"/>
      <c r="Z59" s="564"/>
      <c r="AA59" s="565"/>
      <c r="AB59" s="566"/>
      <c r="AC59" s="566"/>
      <c r="AD59" s="569"/>
      <c r="AE59" s="443" t="s">
        <v>669</v>
      </c>
      <c r="AF59" s="546">
        <v>2014</v>
      </c>
      <c r="AG59" s="957">
        <v>2015</v>
      </c>
      <c r="AH59" s="957">
        <v>2016</v>
      </c>
      <c r="AI59" s="545">
        <v>2017</v>
      </c>
      <c r="AJ59" s="567"/>
      <c r="AK59" s="568"/>
      <c r="AL59" s="568"/>
      <c r="AM59" s="569"/>
      <c r="AN59" s="704" t="s">
        <v>1014</v>
      </c>
      <c r="AO59" s="563" t="s">
        <v>1014</v>
      </c>
      <c r="AP59" s="428" t="s">
        <v>1014</v>
      </c>
      <c r="AQ59" s="428" t="s">
        <v>1014</v>
      </c>
      <c r="AR59" s="428" t="s">
        <v>1014</v>
      </c>
      <c r="AS59" s="563" t="s">
        <v>1014</v>
      </c>
    </row>
    <row r="60" spans="1:45" s="216" customFormat="1">
      <c r="A60" s="682" t="s">
        <v>875</v>
      </c>
      <c r="B60" s="683" t="s">
        <v>630</v>
      </c>
      <c r="C60" s="684">
        <v>41393107.523631178</v>
      </c>
      <c r="D60" s="685">
        <v>41730</v>
      </c>
      <c r="E60" s="686">
        <v>15</v>
      </c>
      <c r="F60" s="282" t="s">
        <v>876</v>
      </c>
      <c r="G60" s="687"/>
      <c r="H60" s="1060" t="s">
        <v>662</v>
      </c>
      <c r="I60" s="137">
        <f>VLOOKUP($E60,$B$20:$E$54,2,FALSE)</f>
        <v>30</v>
      </c>
      <c r="J60" s="223">
        <f t="shared" ref="J60:J174" si="0">VLOOKUP($E60,$B$20:$G$54,3,FALSE)</f>
        <v>0.96699999999999997</v>
      </c>
      <c r="K60" s="223">
        <f t="shared" ref="K60:K174" si="1">VLOOKUP($E60,$B$20:$G$54,4,FALSE)</f>
        <v>3.3000000000000002E-2</v>
      </c>
      <c r="L60" s="223">
        <f t="shared" ref="L60:L174" si="2">VLOOKUP($E60,$B$20:$G$54,5,FALSE)</f>
        <v>0</v>
      </c>
      <c r="M60" s="445">
        <f t="shared" ref="M60:P110" si="3">IF(YEAR($D60)&gt;M$58,0,HLOOKUP(M$58,$C$9:$F$13, YEAR($D60)-2011,FALSE))</f>
        <v>0</v>
      </c>
      <c r="N60" s="445">
        <f t="shared" si="3"/>
        <v>1</v>
      </c>
      <c r="O60" s="445">
        <f t="shared" si="3"/>
        <v>1.01</v>
      </c>
      <c r="P60" s="445">
        <f t="shared" si="3"/>
        <v>1.0180800000000001</v>
      </c>
      <c r="Q60" s="440">
        <f t="shared" ref="Q60" si="4">C60*$B$6</f>
        <v>413931.07523631176</v>
      </c>
      <c r="R60" s="134">
        <f t="shared" ref="R60" si="5">$Q60*M60</f>
        <v>0</v>
      </c>
      <c r="S60" s="134">
        <f t="shared" ref="S60" si="6">$Q60*N60</f>
        <v>413931.07523631176</v>
      </c>
      <c r="T60" s="134">
        <f t="shared" ref="T60" si="7">$Q60*O60</f>
        <v>418070.38598867488</v>
      </c>
      <c r="U60" s="1069">
        <f t="shared" ref="U60" si="8">$Q60*P60</f>
        <v>421414.94907658431</v>
      </c>
      <c r="V60" s="134">
        <f>IF(H60="nee",U60,IF(G60="ja",S60*(1+$C$16)+T60*(1+$D$16)+U60,R60*(1+$B$16)+S60*(1+$C$16)+T60*(1+$D$16)+U60))</f>
        <v>421414.94907658431</v>
      </c>
      <c r="W60" s="100">
        <f>IF(YEAR($D60)&lt;W$58,$C60/$I60,IF(YEAR($D60)=W$58,(13-MONTH($D60))/12*$C60/$I60,0))</f>
        <v>0</v>
      </c>
      <c r="X60" s="100">
        <f t="shared" ref="W60:Z110" si="9">IF(YEAR($D60)&lt;X$58,$C60/$I60,IF(YEAR($D60)=X$58,(13-MONTH($D60))/12*$C60/$I60,0))</f>
        <v>1034827.6880907794</v>
      </c>
      <c r="Y60" s="100">
        <f t="shared" si="9"/>
        <v>1379770.2507877059</v>
      </c>
      <c r="Z60" s="151">
        <f t="shared" si="9"/>
        <v>1379770.2507877059</v>
      </c>
      <c r="AA60" s="448">
        <f t="shared" ref="AA60" si="10">W60*M60</f>
        <v>0</v>
      </c>
      <c r="AB60" s="448">
        <f t="shared" ref="AB60" si="11">X60*N60</f>
        <v>1034827.6880907794</v>
      </c>
      <c r="AC60" s="448">
        <f t="shared" ref="AC60" si="12">Y60*O60</f>
        <v>1393567.9532955829</v>
      </c>
      <c r="AD60" s="448">
        <f t="shared" ref="AD60" si="13">Z60*P60</f>
        <v>1404716.4969219477</v>
      </c>
      <c r="AE60" s="285"/>
      <c r="AF60" s="100">
        <f t="shared" ref="AF60" si="14">IF(YEAR($D60)=AF$58,$C60-AA60,IF(YEAR($D60)&lt;AF$58,AE60*$B$10-AA60,0))</f>
        <v>0</v>
      </c>
      <c r="AG60" s="100">
        <f t="shared" ref="AG60" si="15">IF(YEAR($D60)=AG$58,$C60-AB60,IF(YEAR($D60)&lt;AG$58,AF60*$B$11-AB60,0))</f>
        <v>40358279.835540399</v>
      </c>
      <c r="AH60" s="100">
        <f t="shared" ref="AH60" si="16">IF(YEAR($D60)=AH$58,$C60-AC60,IF(YEAR($D60)&lt;AH$58,AG60*$B$12-AC60,0))</f>
        <v>39368294.680600226</v>
      </c>
      <c r="AI60" s="151">
        <f t="shared" ref="AI60" si="17">IF(YEAR($D60)=AI$58,$C60-AD60,IF(YEAR($D60)&lt;AI$58,AH60*$B$13-AD60,0))</f>
        <v>38278524.541123077</v>
      </c>
      <c r="AJ60" s="100">
        <f>AF60*$B$4+AA60</f>
        <v>0</v>
      </c>
      <c r="AK60" s="100">
        <f>AG60*$B$5+AB60</f>
        <v>2487725.7621702338</v>
      </c>
      <c r="AL60" s="100">
        <f t="shared" ref="AL60:AM60" si="18">AH60*$B$5+AC60</f>
        <v>2810826.5617971909</v>
      </c>
      <c r="AM60" s="151">
        <f t="shared" si="18"/>
        <v>2782743.3804023783</v>
      </c>
      <c r="AN60" s="100">
        <f>IF(H60="nee",AM60,IF(G60="ja",AK60*(1+$C$16)+AL60*(1+$D$16)+AM60, AJ60*(1+$B$16)+AK60*(1+$C$16)+AL60*(1+$D$16)+AM60))</f>
        <v>2782743.3804023783</v>
      </c>
      <c r="AO60" s="100">
        <f>AN60+V60</f>
        <v>3204158.3294789623</v>
      </c>
      <c r="AP60" s="100">
        <f>IF(YEAR(D60)&lt;2014,$AO60*J60,0)</f>
        <v>0</v>
      </c>
      <c r="AQ60" s="100">
        <f>IF(YEAR(D60)&gt;2013,$AO60*J60,0)</f>
        <v>3098421.1046061567</v>
      </c>
      <c r="AR60" s="100">
        <f>$AO60*K60</f>
        <v>105737.22487280576</v>
      </c>
      <c r="AS60" s="100">
        <f t="shared" ref="AS60" si="19">$AO60*L60</f>
        <v>0</v>
      </c>
    </row>
    <row r="61" spans="1:45" s="216" customFormat="1">
      <c r="A61" s="682" t="s">
        <v>875</v>
      </c>
      <c r="B61" s="683" t="s">
        <v>1130</v>
      </c>
      <c r="C61" s="684">
        <v>490477.67630532</v>
      </c>
      <c r="D61" s="685">
        <v>42004</v>
      </c>
      <c r="E61" s="691">
        <v>15</v>
      </c>
      <c r="F61" s="282" t="s">
        <v>876</v>
      </c>
      <c r="G61" s="687"/>
      <c r="H61" s="1310" t="s">
        <v>638</v>
      </c>
      <c r="I61" s="137">
        <f t="shared" ref="I61:I135" si="20">VLOOKUP($E61,$B$20:$E$54,2,FALSE)</f>
        <v>30</v>
      </c>
      <c r="J61" s="223">
        <f t="shared" si="0"/>
        <v>0.96699999999999997</v>
      </c>
      <c r="K61" s="223">
        <f t="shared" si="1"/>
        <v>3.3000000000000002E-2</v>
      </c>
      <c r="L61" s="223">
        <f t="shared" si="2"/>
        <v>0</v>
      </c>
      <c r="M61" s="445">
        <f t="shared" si="3"/>
        <v>0</v>
      </c>
      <c r="N61" s="445">
        <f t="shared" si="3"/>
        <v>1</v>
      </c>
      <c r="O61" s="445">
        <f t="shared" si="3"/>
        <v>1.01</v>
      </c>
      <c r="P61" s="445">
        <f t="shared" si="3"/>
        <v>1.0180800000000001</v>
      </c>
      <c r="Q61" s="440">
        <f t="shared" ref="Q61:Q82" si="21">C61*$B$6</f>
        <v>4904.7767630531998</v>
      </c>
      <c r="R61" s="134">
        <f t="shared" ref="R61:R82" si="22">$Q61*M61</f>
        <v>0</v>
      </c>
      <c r="S61" s="134">
        <f t="shared" ref="S61:S82" si="23">$Q61*N61</f>
        <v>4904.7767630531998</v>
      </c>
      <c r="T61" s="134">
        <f t="shared" ref="T61:T82" si="24">$Q61*O61</f>
        <v>4953.8245306837316</v>
      </c>
      <c r="U61" s="1069">
        <f t="shared" ref="U61:U82" si="25">$Q61*P61</f>
        <v>4993.4551269292024</v>
      </c>
      <c r="V61" s="134">
        <f t="shared" ref="V61:V81" si="26">IF(H61="nee",U61,IF(G61="ja",S61*(1+$C$16)+T61*(1+$D$16)+U61,R61*(1+$B$16)+S61*(1+$C$16)+T61*(1+$D$16)+U61))</f>
        <v>15450.43918575862</v>
      </c>
      <c r="W61" s="100">
        <f t="shared" si="9"/>
        <v>0</v>
      </c>
      <c r="X61" s="100">
        <f t="shared" si="9"/>
        <v>1362.4379897369997</v>
      </c>
      <c r="Y61" s="100">
        <f t="shared" si="9"/>
        <v>16349.255876843999</v>
      </c>
      <c r="Z61" s="151">
        <f t="shared" si="9"/>
        <v>16349.255876843999</v>
      </c>
      <c r="AA61" s="448">
        <f t="shared" ref="AA61:AA82" si="27">W61*M61</f>
        <v>0</v>
      </c>
      <c r="AB61" s="448">
        <f t="shared" ref="AB61:AB82" si="28">X61*N61</f>
        <v>1362.4379897369997</v>
      </c>
      <c r="AC61" s="448">
        <f t="shared" ref="AC61:AC82" si="29">Y61*O61</f>
        <v>16512.748435612441</v>
      </c>
      <c r="AD61" s="448">
        <f t="shared" ref="AD61:AD82" si="30">Z61*P61</f>
        <v>16644.850423097341</v>
      </c>
      <c r="AE61" s="285"/>
      <c r="AF61" s="100">
        <f t="shared" ref="AF61:AF82" si="31">IF(YEAR($D61)=AF$58,$C61-AA61,IF(YEAR($D61)&lt;AF$58,AE61*$B$10-AA61,0))</f>
        <v>0</v>
      </c>
      <c r="AG61" s="100">
        <f t="shared" ref="AG61:AG82" si="32">IF(YEAR($D61)=AG$58,$C61-AB61,IF(YEAR($D61)&lt;AG$58,AF61*$B$11-AB61,0))</f>
        <v>489115.23831558297</v>
      </c>
      <c r="AH61" s="100">
        <f t="shared" ref="AH61:AH82" si="33">IF(YEAR($D61)=AH$58,$C61-AC61,IF(YEAR($D61)&lt;AH$58,AG61*$B$12-AC61,0))</f>
        <v>477493.64226312638</v>
      </c>
      <c r="AI61" s="151">
        <f t="shared" ref="AI61:AI82" si="34">IF(YEAR($D61)=AI$58,$C61-AD61,IF(YEAR($D61)&lt;AI$58,AH61*$B$13-AD61,0))</f>
        <v>464668.7409781341</v>
      </c>
      <c r="AJ61" s="100">
        <f t="shared" ref="AJ61:AJ81" si="35">AF61*$B$4+AA61</f>
        <v>0</v>
      </c>
      <c r="AK61" s="100">
        <f t="shared" ref="AK61:AK81" si="36">AG61*$B$5+AB61</f>
        <v>18970.586569097984</v>
      </c>
      <c r="AL61" s="100">
        <f t="shared" ref="AL61:AL82" si="37">AH61*$B$5+AC61</f>
        <v>33702.51955708499</v>
      </c>
      <c r="AM61" s="151">
        <f t="shared" ref="AM61:AM82" si="38">AI61*$B$5+AD61</f>
        <v>33372.925098310167</v>
      </c>
      <c r="AN61" s="100">
        <f t="shared" ref="AN61:AN81" si="39">IF(H61="nee",AM61,IF(G61="ja",AK61*(1+$C$16)+AL61*(1+$D$16)+AM61, AJ61*(1+$B$16)+AK61*(1+$C$16)+AL61*(1+$D$16)+AM61))</f>
        <v>88942.131870814905</v>
      </c>
      <c r="AO61" s="100">
        <f t="shared" ref="AO61:AO81" si="40">AN61+V61</f>
        <v>104392.57105657352</v>
      </c>
      <c r="AP61" s="100">
        <f t="shared" ref="AP61:AP81" si="41">IF(YEAR(D61)&lt;2014,$AO61*J61,0)</f>
        <v>0</v>
      </c>
      <c r="AQ61" s="100">
        <f t="shared" ref="AQ61:AQ81" si="42">IF(YEAR(D61)&gt;2013,$AO61*J61,0)</f>
        <v>100947.6162117066</v>
      </c>
      <c r="AR61" s="100">
        <f t="shared" ref="AR61:AR81" si="43">$AO61*K61</f>
        <v>3444.9548448669261</v>
      </c>
      <c r="AS61" s="100">
        <f t="shared" ref="AS61:AS82" si="44">$AO61*L61</f>
        <v>0</v>
      </c>
    </row>
    <row r="62" spans="1:45" s="216" customFormat="1">
      <c r="A62" s="682" t="s">
        <v>875</v>
      </c>
      <c r="B62" s="683" t="s">
        <v>1133</v>
      </c>
      <c r="C62" s="684">
        <v>366536.31385969993</v>
      </c>
      <c r="D62" s="685">
        <v>42186</v>
      </c>
      <c r="E62" s="691">
        <v>15</v>
      </c>
      <c r="F62" s="282" t="s">
        <v>876</v>
      </c>
      <c r="G62" s="687"/>
      <c r="H62" s="1310" t="s">
        <v>638</v>
      </c>
      <c r="I62" s="137">
        <f t="shared" si="20"/>
        <v>30</v>
      </c>
      <c r="J62" s="223">
        <f t="shared" si="0"/>
        <v>0.96699999999999997</v>
      </c>
      <c r="K62" s="223">
        <f t="shared" si="1"/>
        <v>3.3000000000000002E-2</v>
      </c>
      <c r="L62" s="223">
        <f t="shared" si="2"/>
        <v>0</v>
      </c>
      <c r="M62" s="445">
        <f t="shared" si="3"/>
        <v>0</v>
      </c>
      <c r="N62" s="445">
        <f t="shared" si="3"/>
        <v>0</v>
      </c>
      <c r="O62" s="445">
        <f t="shared" si="3"/>
        <v>1</v>
      </c>
      <c r="P62" s="445">
        <f t="shared" si="3"/>
        <v>1.008</v>
      </c>
      <c r="Q62" s="440">
        <f t="shared" si="21"/>
        <v>3665.3631385969993</v>
      </c>
      <c r="R62" s="134">
        <f t="shared" si="22"/>
        <v>0</v>
      </c>
      <c r="S62" s="134">
        <f t="shared" si="23"/>
        <v>0</v>
      </c>
      <c r="T62" s="134">
        <f t="shared" si="24"/>
        <v>3665.3631385969993</v>
      </c>
      <c r="U62" s="1069">
        <f t="shared" si="25"/>
        <v>3694.6860437057753</v>
      </c>
      <c r="V62" s="134">
        <f t="shared" si="26"/>
        <v>7506.6637078466538</v>
      </c>
      <c r="W62" s="100">
        <f t="shared" si="9"/>
        <v>0</v>
      </c>
      <c r="X62" s="100">
        <f t="shared" si="9"/>
        <v>0</v>
      </c>
      <c r="Y62" s="100">
        <f t="shared" si="9"/>
        <v>6108.9385643283322</v>
      </c>
      <c r="Z62" s="151">
        <f t="shared" si="9"/>
        <v>12217.877128656664</v>
      </c>
      <c r="AA62" s="448">
        <f t="shared" si="27"/>
        <v>0</v>
      </c>
      <c r="AB62" s="448">
        <f t="shared" si="28"/>
        <v>0</v>
      </c>
      <c r="AC62" s="448">
        <f t="shared" si="29"/>
        <v>6108.9385643283322</v>
      </c>
      <c r="AD62" s="448">
        <f t="shared" si="30"/>
        <v>12315.620145685918</v>
      </c>
      <c r="AE62" s="285"/>
      <c r="AF62" s="100">
        <f t="shared" si="31"/>
        <v>0</v>
      </c>
      <c r="AG62" s="100">
        <f t="shared" si="32"/>
        <v>0</v>
      </c>
      <c r="AH62" s="100">
        <f t="shared" si="33"/>
        <v>360427.37529537157</v>
      </c>
      <c r="AI62" s="151">
        <f t="shared" si="34"/>
        <v>350995.17415204865</v>
      </c>
      <c r="AJ62" s="100">
        <f t="shared" si="35"/>
        <v>0</v>
      </c>
      <c r="AK62" s="100">
        <f t="shared" si="36"/>
        <v>0</v>
      </c>
      <c r="AL62" s="100">
        <f t="shared" si="37"/>
        <v>19084.324074961707</v>
      </c>
      <c r="AM62" s="151">
        <f t="shared" si="38"/>
        <v>24951.446415159669</v>
      </c>
      <c r="AN62" s="100">
        <f t="shared" si="39"/>
        <v>44799.143453119832</v>
      </c>
      <c r="AO62" s="100">
        <f t="shared" si="40"/>
        <v>52305.807160966484</v>
      </c>
      <c r="AP62" s="100">
        <f t="shared" si="41"/>
        <v>0</v>
      </c>
      <c r="AQ62" s="100">
        <f t="shared" si="42"/>
        <v>50579.715524654588</v>
      </c>
      <c r="AR62" s="100">
        <f t="shared" si="43"/>
        <v>1726.091636311894</v>
      </c>
      <c r="AS62" s="100">
        <f t="shared" si="44"/>
        <v>0</v>
      </c>
    </row>
    <row r="63" spans="1:45" s="216" customFormat="1">
      <c r="A63" s="682" t="s">
        <v>877</v>
      </c>
      <c r="B63" s="683" t="s">
        <v>878</v>
      </c>
      <c r="C63" s="684">
        <v>138506.98032051075</v>
      </c>
      <c r="D63" s="685">
        <v>41730</v>
      </c>
      <c r="E63" s="686">
        <v>2</v>
      </c>
      <c r="F63" s="282" t="s">
        <v>876</v>
      </c>
      <c r="G63" s="687"/>
      <c r="H63" s="1060" t="s">
        <v>662</v>
      </c>
      <c r="I63" s="137">
        <f t="shared" si="20"/>
        <v>30</v>
      </c>
      <c r="J63" s="223">
        <f t="shared" si="0"/>
        <v>0.96699999999999997</v>
      </c>
      <c r="K63" s="223">
        <f t="shared" si="1"/>
        <v>3.3000000000000002E-2</v>
      </c>
      <c r="L63" s="223">
        <f t="shared" si="2"/>
        <v>0</v>
      </c>
      <c r="M63" s="445">
        <f t="shared" si="3"/>
        <v>0</v>
      </c>
      <c r="N63" s="445">
        <f t="shared" si="3"/>
        <v>1</v>
      </c>
      <c r="O63" s="445">
        <f t="shared" si="3"/>
        <v>1.01</v>
      </c>
      <c r="P63" s="445">
        <f t="shared" si="3"/>
        <v>1.0180800000000001</v>
      </c>
      <c r="Q63" s="440">
        <f t="shared" si="21"/>
        <v>1385.0698032051075</v>
      </c>
      <c r="R63" s="134">
        <f t="shared" si="22"/>
        <v>0</v>
      </c>
      <c r="S63" s="134">
        <f t="shared" si="23"/>
        <v>1385.0698032051075</v>
      </c>
      <c r="T63" s="134">
        <f t="shared" si="24"/>
        <v>1398.9205012371585</v>
      </c>
      <c r="U63" s="1069">
        <f t="shared" si="25"/>
        <v>1410.1118652470559</v>
      </c>
      <c r="V63" s="134">
        <f t="shared" si="26"/>
        <v>1410.1118652470559</v>
      </c>
      <c r="W63" s="100">
        <f t="shared" si="9"/>
        <v>0</v>
      </c>
      <c r="X63" s="100">
        <f t="shared" si="9"/>
        <v>3462.6745080127685</v>
      </c>
      <c r="Y63" s="100">
        <f t="shared" si="9"/>
        <v>4616.8993440170252</v>
      </c>
      <c r="Z63" s="151">
        <f t="shared" si="9"/>
        <v>4616.8993440170252</v>
      </c>
      <c r="AA63" s="448">
        <f t="shared" si="27"/>
        <v>0</v>
      </c>
      <c r="AB63" s="448">
        <f t="shared" si="28"/>
        <v>3462.6745080127685</v>
      </c>
      <c r="AC63" s="448">
        <f t="shared" si="29"/>
        <v>4663.0683374571954</v>
      </c>
      <c r="AD63" s="448">
        <f t="shared" si="30"/>
        <v>4700.3728841568536</v>
      </c>
      <c r="AE63" s="285"/>
      <c r="AF63" s="100">
        <f t="shared" si="31"/>
        <v>0</v>
      </c>
      <c r="AG63" s="100">
        <f t="shared" si="32"/>
        <v>135044.30581249797</v>
      </c>
      <c r="AH63" s="100">
        <f t="shared" si="33"/>
        <v>131731.68053316575</v>
      </c>
      <c r="AI63" s="151">
        <f t="shared" si="34"/>
        <v>128085.16109327422</v>
      </c>
      <c r="AJ63" s="100">
        <f t="shared" si="35"/>
        <v>0</v>
      </c>
      <c r="AK63" s="100">
        <f t="shared" si="36"/>
        <v>8324.2695172626954</v>
      </c>
      <c r="AL63" s="100">
        <f t="shared" si="37"/>
        <v>9405.4088366511623</v>
      </c>
      <c r="AM63" s="151">
        <f t="shared" si="38"/>
        <v>9311.4386835147252</v>
      </c>
      <c r="AN63" s="100">
        <f t="shared" si="39"/>
        <v>9311.4386835147252</v>
      </c>
      <c r="AO63" s="100">
        <f t="shared" si="40"/>
        <v>10721.550548761781</v>
      </c>
      <c r="AP63" s="100">
        <f t="shared" si="41"/>
        <v>0</v>
      </c>
      <c r="AQ63" s="100">
        <f t="shared" si="42"/>
        <v>10367.739380652642</v>
      </c>
      <c r="AR63" s="100">
        <f t="shared" si="43"/>
        <v>353.8111681091388</v>
      </c>
      <c r="AS63" s="100">
        <f t="shared" si="44"/>
        <v>0</v>
      </c>
    </row>
    <row r="64" spans="1:45" s="216" customFormat="1">
      <c r="A64" s="682" t="s">
        <v>877</v>
      </c>
      <c r="B64" s="683" t="s">
        <v>630</v>
      </c>
      <c r="C64" s="684">
        <v>9765306.1969894748</v>
      </c>
      <c r="D64" s="685">
        <v>41730</v>
      </c>
      <c r="E64" s="686">
        <v>15</v>
      </c>
      <c r="F64" s="282" t="s">
        <v>876</v>
      </c>
      <c r="G64" s="687"/>
      <c r="H64" s="1060" t="s">
        <v>662</v>
      </c>
      <c r="I64" s="137">
        <f t="shared" si="20"/>
        <v>30</v>
      </c>
      <c r="J64" s="223">
        <f t="shared" si="0"/>
        <v>0.96699999999999997</v>
      </c>
      <c r="K64" s="223">
        <f t="shared" si="1"/>
        <v>3.3000000000000002E-2</v>
      </c>
      <c r="L64" s="223">
        <f t="shared" si="2"/>
        <v>0</v>
      </c>
      <c r="M64" s="445">
        <f t="shared" si="3"/>
        <v>0</v>
      </c>
      <c r="N64" s="445">
        <f t="shared" si="3"/>
        <v>1</v>
      </c>
      <c r="O64" s="445">
        <f t="shared" si="3"/>
        <v>1.01</v>
      </c>
      <c r="P64" s="445">
        <f t="shared" si="3"/>
        <v>1.0180800000000001</v>
      </c>
      <c r="Q64" s="440">
        <f t="shared" si="21"/>
        <v>97653.061969894756</v>
      </c>
      <c r="R64" s="134">
        <f t="shared" si="22"/>
        <v>0</v>
      </c>
      <c r="S64" s="134">
        <f t="shared" si="23"/>
        <v>97653.061969894756</v>
      </c>
      <c r="T64" s="134">
        <f t="shared" si="24"/>
        <v>98629.592589593711</v>
      </c>
      <c r="U64" s="1069">
        <f t="shared" si="25"/>
        <v>99418.629330310461</v>
      </c>
      <c r="V64" s="134">
        <f t="shared" si="26"/>
        <v>99418.629330310461</v>
      </c>
      <c r="W64" s="100">
        <f t="shared" si="9"/>
        <v>0</v>
      </c>
      <c r="X64" s="100">
        <f t="shared" si="9"/>
        <v>244132.65492473685</v>
      </c>
      <c r="Y64" s="100">
        <f t="shared" si="9"/>
        <v>325510.20656631584</v>
      </c>
      <c r="Z64" s="151">
        <f t="shared" si="9"/>
        <v>325510.20656631584</v>
      </c>
      <c r="AA64" s="448">
        <f t="shared" si="27"/>
        <v>0</v>
      </c>
      <c r="AB64" s="448">
        <f t="shared" si="28"/>
        <v>244132.65492473685</v>
      </c>
      <c r="AC64" s="448">
        <f t="shared" si="29"/>
        <v>328765.30863197899</v>
      </c>
      <c r="AD64" s="448">
        <f t="shared" si="30"/>
        <v>331395.43110103486</v>
      </c>
      <c r="AE64" s="285"/>
      <c r="AF64" s="100">
        <f t="shared" si="31"/>
        <v>0</v>
      </c>
      <c r="AG64" s="100">
        <f t="shared" si="32"/>
        <v>9521173.5420647375</v>
      </c>
      <c r="AH64" s="100">
        <f t="shared" si="33"/>
        <v>9287619.9688534066</v>
      </c>
      <c r="AI64" s="151">
        <f t="shared" si="34"/>
        <v>9030525.4975031987</v>
      </c>
      <c r="AJ64" s="100">
        <f t="shared" si="35"/>
        <v>0</v>
      </c>
      <c r="AK64" s="100">
        <f t="shared" si="36"/>
        <v>586894.90243906737</v>
      </c>
      <c r="AL64" s="100">
        <f t="shared" si="37"/>
        <v>663119.62751070154</v>
      </c>
      <c r="AM64" s="151">
        <f t="shared" si="38"/>
        <v>656494.34901114996</v>
      </c>
      <c r="AN64" s="100">
        <f t="shared" si="39"/>
        <v>656494.34901114996</v>
      </c>
      <c r="AO64" s="100">
        <f t="shared" si="40"/>
        <v>755912.97834146046</v>
      </c>
      <c r="AP64" s="100">
        <f t="shared" si="41"/>
        <v>0</v>
      </c>
      <c r="AQ64" s="100">
        <f t="shared" si="42"/>
        <v>730967.85005619226</v>
      </c>
      <c r="AR64" s="100">
        <f t="shared" si="43"/>
        <v>24945.128285268198</v>
      </c>
      <c r="AS64" s="100">
        <f t="shared" si="44"/>
        <v>0</v>
      </c>
    </row>
    <row r="65" spans="1:45" s="216" customFormat="1">
      <c r="A65" s="682" t="s">
        <v>877</v>
      </c>
      <c r="B65" s="683" t="s">
        <v>632</v>
      </c>
      <c r="C65" s="684">
        <v>1865537.4116393118</v>
      </c>
      <c r="D65" s="685">
        <v>41730</v>
      </c>
      <c r="E65" s="686">
        <v>21</v>
      </c>
      <c r="F65" s="282" t="s">
        <v>876</v>
      </c>
      <c r="G65" s="687"/>
      <c r="H65" s="1060" t="s">
        <v>662</v>
      </c>
      <c r="I65" s="137">
        <f t="shared" si="20"/>
        <v>55</v>
      </c>
      <c r="J65" s="223">
        <f t="shared" si="0"/>
        <v>0.96699999999999997</v>
      </c>
      <c r="K65" s="223">
        <f t="shared" si="1"/>
        <v>3.3000000000000002E-2</v>
      </c>
      <c r="L65" s="223">
        <f t="shared" si="2"/>
        <v>0</v>
      </c>
      <c r="M65" s="445">
        <f t="shared" si="3"/>
        <v>0</v>
      </c>
      <c r="N65" s="445">
        <f t="shared" si="3"/>
        <v>1</v>
      </c>
      <c r="O65" s="445">
        <f t="shared" si="3"/>
        <v>1.01</v>
      </c>
      <c r="P65" s="445">
        <f t="shared" si="3"/>
        <v>1.0180800000000001</v>
      </c>
      <c r="Q65" s="440">
        <f t="shared" si="21"/>
        <v>18655.374116393119</v>
      </c>
      <c r="R65" s="134">
        <f t="shared" si="22"/>
        <v>0</v>
      </c>
      <c r="S65" s="134">
        <f t="shared" si="23"/>
        <v>18655.374116393119</v>
      </c>
      <c r="T65" s="134">
        <f t="shared" si="24"/>
        <v>18841.92785755705</v>
      </c>
      <c r="U65" s="1069">
        <f t="shared" si="25"/>
        <v>18992.66328041751</v>
      </c>
      <c r="V65" s="134">
        <f t="shared" si="26"/>
        <v>18992.66328041751</v>
      </c>
      <c r="W65" s="100">
        <f t="shared" si="9"/>
        <v>0</v>
      </c>
      <c r="X65" s="100">
        <f t="shared" si="9"/>
        <v>25439.146522354251</v>
      </c>
      <c r="Y65" s="100">
        <f t="shared" si="9"/>
        <v>33918.86202980567</v>
      </c>
      <c r="Z65" s="151">
        <f t="shared" si="9"/>
        <v>33918.86202980567</v>
      </c>
      <c r="AA65" s="448">
        <f t="shared" si="27"/>
        <v>0</v>
      </c>
      <c r="AB65" s="448">
        <f t="shared" si="28"/>
        <v>25439.146522354251</v>
      </c>
      <c r="AC65" s="448">
        <f t="shared" si="29"/>
        <v>34258.050650103731</v>
      </c>
      <c r="AD65" s="448">
        <f t="shared" si="30"/>
        <v>34532.115055304559</v>
      </c>
      <c r="AE65" s="285"/>
      <c r="AF65" s="100">
        <f t="shared" si="31"/>
        <v>0</v>
      </c>
      <c r="AG65" s="100">
        <f t="shared" si="32"/>
        <v>1840098.2651169575</v>
      </c>
      <c r="AH65" s="100">
        <f t="shared" si="33"/>
        <v>1824241.1971180234</v>
      </c>
      <c r="AI65" s="151">
        <f t="shared" si="34"/>
        <v>1804303.011639663</v>
      </c>
      <c r="AJ65" s="100">
        <f t="shared" si="35"/>
        <v>0</v>
      </c>
      <c r="AK65" s="100">
        <f t="shared" si="36"/>
        <v>91682.684066564718</v>
      </c>
      <c r="AL65" s="100">
        <f t="shared" si="37"/>
        <v>99930.733746352562</v>
      </c>
      <c r="AM65" s="151">
        <f t="shared" si="38"/>
        <v>99487.023474332425</v>
      </c>
      <c r="AN65" s="100">
        <f t="shared" si="39"/>
        <v>99487.023474332425</v>
      </c>
      <c r="AO65" s="100">
        <f t="shared" si="40"/>
        <v>118479.68675474994</v>
      </c>
      <c r="AP65" s="100">
        <f t="shared" si="41"/>
        <v>0</v>
      </c>
      <c r="AQ65" s="100">
        <f t="shared" si="42"/>
        <v>114569.85709184319</v>
      </c>
      <c r="AR65" s="100">
        <f t="shared" si="43"/>
        <v>3909.8296629067481</v>
      </c>
      <c r="AS65" s="100">
        <f t="shared" si="44"/>
        <v>0</v>
      </c>
    </row>
    <row r="66" spans="1:45" s="216" customFormat="1">
      <c r="A66" s="682" t="s">
        <v>877</v>
      </c>
      <c r="B66" s="683" t="s">
        <v>628</v>
      </c>
      <c r="C66" s="684">
        <v>831041.88192306459</v>
      </c>
      <c r="D66" s="685">
        <v>41730</v>
      </c>
      <c r="E66" s="686">
        <v>32</v>
      </c>
      <c r="F66" s="282" t="s">
        <v>876</v>
      </c>
      <c r="G66" s="687"/>
      <c r="H66" s="1060" t="s">
        <v>662</v>
      </c>
      <c r="I66" s="137">
        <f t="shared" si="20"/>
        <v>30</v>
      </c>
      <c r="J66" s="223">
        <f t="shared" si="0"/>
        <v>0.96699999999999997</v>
      </c>
      <c r="K66" s="223">
        <f t="shared" si="1"/>
        <v>3.3000000000000002E-2</v>
      </c>
      <c r="L66" s="223">
        <f t="shared" si="2"/>
        <v>0</v>
      </c>
      <c r="M66" s="445">
        <f t="shared" si="3"/>
        <v>0</v>
      </c>
      <c r="N66" s="445">
        <f t="shared" si="3"/>
        <v>1</v>
      </c>
      <c r="O66" s="445">
        <f t="shared" si="3"/>
        <v>1.01</v>
      </c>
      <c r="P66" s="445">
        <f t="shared" si="3"/>
        <v>1.0180800000000001</v>
      </c>
      <c r="Q66" s="440">
        <f t="shared" si="21"/>
        <v>8310.4188192306465</v>
      </c>
      <c r="R66" s="134">
        <f t="shared" si="22"/>
        <v>0</v>
      </c>
      <c r="S66" s="134">
        <f t="shared" si="23"/>
        <v>8310.4188192306465</v>
      </c>
      <c r="T66" s="134">
        <f t="shared" si="24"/>
        <v>8393.523007422953</v>
      </c>
      <c r="U66" s="1069">
        <f t="shared" si="25"/>
        <v>8460.6711914823372</v>
      </c>
      <c r="V66" s="134">
        <f t="shared" si="26"/>
        <v>8460.6711914823372</v>
      </c>
      <c r="W66" s="100">
        <f t="shared" si="9"/>
        <v>0</v>
      </c>
      <c r="X66" s="100">
        <f t="shared" si="9"/>
        <v>20776.047048076616</v>
      </c>
      <c r="Y66" s="100">
        <f t="shared" si="9"/>
        <v>27701.396064102151</v>
      </c>
      <c r="Z66" s="151">
        <f t="shared" si="9"/>
        <v>27701.396064102151</v>
      </c>
      <c r="AA66" s="448">
        <f t="shared" si="27"/>
        <v>0</v>
      </c>
      <c r="AB66" s="448">
        <f t="shared" si="28"/>
        <v>20776.047048076616</v>
      </c>
      <c r="AC66" s="448">
        <f t="shared" si="29"/>
        <v>27978.410024743174</v>
      </c>
      <c r="AD66" s="448">
        <f t="shared" si="30"/>
        <v>28202.237304941122</v>
      </c>
      <c r="AE66" s="285"/>
      <c r="AF66" s="100">
        <f t="shared" si="31"/>
        <v>0</v>
      </c>
      <c r="AG66" s="100">
        <f t="shared" si="32"/>
        <v>810265.83487498795</v>
      </c>
      <c r="AH66" s="100">
        <f t="shared" si="33"/>
        <v>790390.08319899463</v>
      </c>
      <c r="AI66" s="151">
        <f t="shared" si="34"/>
        <v>768510.96655964537</v>
      </c>
      <c r="AJ66" s="100">
        <f t="shared" si="35"/>
        <v>0</v>
      </c>
      <c r="AK66" s="100">
        <f t="shared" si="36"/>
        <v>49945.61710357618</v>
      </c>
      <c r="AL66" s="100">
        <f t="shared" si="37"/>
        <v>56432.453019906978</v>
      </c>
      <c r="AM66" s="151">
        <f t="shared" si="38"/>
        <v>55868.632101088355</v>
      </c>
      <c r="AN66" s="100">
        <f t="shared" si="39"/>
        <v>55868.632101088355</v>
      </c>
      <c r="AO66" s="100">
        <f t="shared" si="40"/>
        <v>64329.303292570694</v>
      </c>
      <c r="AP66" s="100">
        <f t="shared" si="41"/>
        <v>0</v>
      </c>
      <c r="AQ66" s="100">
        <f t="shared" si="42"/>
        <v>62206.436283915857</v>
      </c>
      <c r="AR66" s="100">
        <f t="shared" si="43"/>
        <v>2122.8670086548332</v>
      </c>
      <c r="AS66" s="100">
        <f t="shared" si="44"/>
        <v>0</v>
      </c>
    </row>
    <row r="67" spans="1:45" s="216" customFormat="1">
      <c r="A67" s="682" t="s">
        <v>877</v>
      </c>
      <c r="B67" s="683" t="s">
        <v>879</v>
      </c>
      <c r="C67" s="684">
        <v>10042080.085380096</v>
      </c>
      <c r="D67" s="685">
        <v>41730</v>
      </c>
      <c r="E67" s="686">
        <v>34</v>
      </c>
      <c r="F67" s="282" t="s">
        <v>876</v>
      </c>
      <c r="G67" s="687"/>
      <c r="H67" s="1060" t="s">
        <v>662</v>
      </c>
      <c r="I67" s="137">
        <f t="shared" si="20"/>
        <v>30</v>
      </c>
      <c r="J67" s="223">
        <f t="shared" si="0"/>
        <v>0.96699999999999997</v>
      </c>
      <c r="K67" s="223">
        <f t="shared" si="1"/>
        <v>3.3000000000000002E-2</v>
      </c>
      <c r="L67" s="223">
        <f t="shared" si="2"/>
        <v>0</v>
      </c>
      <c r="M67" s="445">
        <f t="shared" si="3"/>
        <v>0</v>
      </c>
      <c r="N67" s="445">
        <f t="shared" si="3"/>
        <v>1</v>
      </c>
      <c r="O67" s="445">
        <f t="shared" si="3"/>
        <v>1.01</v>
      </c>
      <c r="P67" s="445">
        <f t="shared" si="3"/>
        <v>1.0180800000000001</v>
      </c>
      <c r="Q67" s="440">
        <f t="shared" si="21"/>
        <v>100420.80085380096</v>
      </c>
      <c r="R67" s="134">
        <f t="shared" si="22"/>
        <v>0</v>
      </c>
      <c r="S67" s="134">
        <f t="shared" si="23"/>
        <v>100420.80085380096</v>
      </c>
      <c r="T67" s="134">
        <f t="shared" si="24"/>
        <v>101425.00886233897</v>
      </c>
      <c r="U67" s="1069">
        <f t="shared" si="25"/>
        <v>102236.40893323769</v>
      </c>
      <c r="V67" s="134">
        <f t="shared" si="26"/>
        <v>102236.40893323769</v>
      </c>
      <c r="W67" s="100">
        <f t="shared" si="9"/>
        <v>0</v>
      </c>
      <c r="X67" s="100">
        <f t="shared" si="9"/>
        <v>251052.0021345024</v>
      </c>
      <c r="Y67" s="100">
        <f t="shared" si="9"/>
        <v>334736.00284600322</v>
      </c>
      <c r="Z67" s="151">
        <f t="shared" si="9"/>
        <v>334736.00284600322</v>
      </c>
      <c r="AA67" s="448">
        <f t="shared" si="27"/>
        <v>0</v>
      </c>
      <c r="AB67" s="448">
        <f t="shared" si="28"/>
        <v>251052.0021345024</v>
      </c>
      <c r="AC67" s="448">
        <f t="shared" si="29"/>
        <v>338083.36287446326</v>
      </c>
      <c r="AD67" s="448">
        <f t="shared" si="30"/>
        <v>340788.02977745899</v>
      </c>
      <c r="AE67" s="285"/>
      <c r="AF67" s="100">
        <f t="shared" si="31"/>
        <v>0</v>
      </c>
      <c r="AG67" s="100">
        <f t="shared" si="32"/>
        <v>9791028.0832455941</v>
      </c>
      <c r="AH67" s="100">
        <f t="shared" si="33"/>
        <v>9550855.0012035873</v>
      </c>
      <c r="AI67" s="151">
        <f t="shared" si="34"/>
        <v>9286473.8114357553</v>
      </c>
      <c r="AJ67" s="100">
        <f t="shared" si="35"/>
        <v>0</v>
      </c>
      <c r="AK67" s="100">
        <f t="shared" si="36"/>
        <v>603529.01313134376</v>
      </c>
      <c r="AL67" s="100">
        <f t="shared" si="37"/>
        <v>681914.14291779231</v>
      </c>
      <c r="AM67" s="151">
        <f t="shared" si="38"/>
        <v>675101.08698914619</v>
      </c>
      <c r="AN67" s="100">
        <f t="shared" si="39"/>
        <v>675101.08698914619</v>
      </c>
      <c r="AO67" s="100">
        <f t="shared" si="40"/>
        <v>777337.49592238385</v>
      </c>
      <c r="AP67" s="100">
        <f t="shared" si="41"/>
        <v>0</v>
      </c>
      <c r="AQ67" s="100">
        <f t="shared" si="42"/>
        <v>751685.35855694511</v>
      </c>
      <c r="AR67" s="100">
        <f t="shared" si="43"/>
        <v>25652.13736543867</v>
      </c>
      <c r="AS67" s="100">
        <f t="shared" si="44"/>
        <v>0</v>
      </c>
    </row>
    <row r="68" spans="1:45" s="216" customFormat="1">
      <c r="A68" s="682" t="s">
        <v>877</v>
      </c>
      <c r="B68" s="683" t="s">
        <v>1154</v>
      </c>
      <c r="C68" s="684">
        <v>671.86452224000004</v>
      </c>
      <c r="D68" s="685">
        <v>42004</v>
      </c>
      <c r="E68" s="691">
        <v>2</v>
      </c>
      <c r="F68" s="282" t="s">
        <v>876</v>
      </c>
      <c r="G68" s="687"/>
      <c r="H68" s="1310" t="s">
        <v>638</v>
      </c>
      <c r="I68" s="137">
        <f t="shared" si="20"/>
        <v>30</v>
      </c>
      <c r="J68" s="223">
        <f t="shared" si="0"/>
        <v>0.96699999999999997</v>
      </c>
      <c r="K68" s="223">
        <f t="shared" si="1"/>
        <v>3.3000000000000002E-2</v>
      </c>
      <c r="L68" s="223">
        <f t="shared" si="2"/>
        <v>0</v>
      </c>
      <c r="M68" s="445">
        <f t="shared" si="3"/>
        <v>0</v>
      </c>
      <c r="N68" s="445">
        <f t="shared" si="3"/>
        <v>1</v>
      </c>
      <c r="O68" s="445">
        <f t="shared" si="3"/>
        <v>1.01</v>
      </c>
      <c r="P68" s="445">
        <f t="shared" si="3"/>
        <v>1.0180800000000001</v>
      </c>
      <c r="Q68" s="440">
        <f t="shared" si="21"/>
        <v>6.7186452224000002</v>
      </c>
      <c r="R68" s="134">
        <f t="shared" si="22"/>
        <v>0</v>
      </c>
      <c r="S68" s="134">
        <f t="shared" si="23"/>
        <v>6.7186452224000002</v>
      </c>
      <c r="T68" s="134">
        <f t="shared" si="24"/>
        <v>6.7858316746240002</v>
      </c>
      <c r="U68" s="1069">
        <f t="shared" si="25"/>
        <v>6.840118328020993</v>
      </c>
      <c r="V68" s="134">
        <f t="shared" si="26"/>
        <v>21.164269942177786</v>
      </c>
      <c r="W68" s="100">
        <f t="shared" si="9"/>
        <v>0</v>
      </c>
      <c r="X68" s="100">
        <f t="shared" si="9"/>
        <v>1.8662903395555555</v>
      </c>
      <c r="Y68" s="100">
        <f t="shared" si="9"/>
        <v>22.395484074666669</v>
      </c>
      <c r="Z68" s="151">
        <f t="shared" si="9"/>
        <v>22.395484074666669</v>
      </c>
      <c r="AA68" s="448">
        <f t="shared" si="27"/>
        <v>0</v>
      </c>
      <c r="AB68" s="448">
        <f t="shared" si="28"/>
        <v>1.8662903395555555</v>
      </c>
      <c r="AC68" s="448">
        <f t="shared" si="29"/>
        <v>22.619438915413337</v>
      </c>
      <c r="AD68" s="448">
        <f t="shared" si="30"/>
        <v>22.800394426736645</v>
      </c>
      <c r="AE68" s="285"/>
      <c r="AF68" s="100">
        <f t="shared" si="31"/>
        <v>0</v>
      </c>
      <c r="AG68" s="100">
        <f t="shared" si="32"/>
        <v>669.99823190044447</v>
      </c>
      <c r="AH68" s="100">
        <f t="shared" si="33"/>
        <v>654.07877530403562</v>
      </c>
      <c r="AI68" s="151">
        <f t="shared" si="34"/>
        <v>636.51101107973125</v>
      </c>
      <c r="AJ68" s="100">
        <f t="shared" si="35"/>
        <v>0</v>
      </c>
      <c r="AK68" s="100">
        <f t="shared" si="36"/>
        <v>25.986226687971552</v>
      </c>
      <c r="AL68" s="100">
        <f t="shared" si="37"/>
        <v>46.166274826358617</v>
      </c>
      <c r="AM68" s="151">
        <f t="shared" si="38"/>
        <v>45.714790825606968</v>
      </c>
      <c r="AN68" s="100">
        <f t="shared" si="39"/>
        <v>121.83441943072992</v>
      </c>
      <c r="AO68" s="100">
        <f t="shared" si="40"/>
        <v>142.99868937290771</v>
      </c>
      <c r="AP68" s="100">
        <f t="shared" si="41"/>
        <v>0</v>
      </c>
      <c r="AQ68" s="100">
        <f t="shared" si="42"/>
        <v>138.27973262360175</v>
      </c>
      <c r="AR68" s="100">
        <f t="shared" si="43"/>
        <v>4.7189567493059545</v>
      </c>
      <c r="AS68" s="100">
        <f t="shared" si="44"/>
        <v>0</v>
      </c>
    </row>
    <row r="69" spans="1:45" s="216" customFormat="1">
      <c r="A69" s="682" t="s">
        <v>877</v>
      </c>
      <c r="B69" s="683" t="s">
        <v>1130</v>
      </c>
      <c r="C69" s="684">
        <v>40711.471783320005</v>
      </c>
      <c r="D69" s="685">
        <v>42004</v>
      </c>
      <c r="E69" s="691">
        <v>15</v>
      </c>
      <c r="F69" s="282" t="s">
        <v>876</v>
      </c>
      <c r="G69" s="687"/>
      <c r="H69" s="1310" t="s">
        <v>638</v>
      </c>
      <c r="I69" s="137">
        <f t="shared" si="20"/>
        <v>30</v>
      </c>
      <c r="J69" s="223">
        <f t="shared" si="0"/>
        <v>0.96699999999999997</v>
      </c>
      <c r="K69" s="223">
        <f t="shared" si="1"/>
        <v>3.3000000000000002E-2</v>
      </c>
      <c r="L69" s="223">
        <f t="shared" si="2"/>
        <v>0</v>
      </c>
      <c r="M69" s="445">
        <f t="shared" si="3"/>
        <v>0</v>
      </c>
      <c r="N69" s="445">
        <f t="shared" si="3"/>
        <v>1</v>
      </c>
      <c r="O69" s="445">
        <f t="shared" si="3"/>
        <v>1.01</v>
      </c>
      <c r="P69" s="445">
        <f t="shared" si="3"/>
        <v>1.0180800000000001</v>
      </c>
      <c r="Q69" s="440">
        <f t="shared" si="21"/>
        <v>407.11471783320007</v>
      </c>
      <c r="R69" s="134">
        <f t="shared" si="22"/>
        <v>0</v>
      </c>
      <c r="S69" s="134">
        <f t="shared" si="23"/>
        <v>407.11471783320007</v>
      </c>
      <c r="T69" s="134">
        <f t="shared" si="24"/>
        <v>411.18586501153209</v>
      </c>
      <c r="U69" s="1069">
        <f t="shared" si="25"/>
        <v>414.47535193162435</v>
      </c>
      <c r="V69" s="134">
        <f t="shared" si="26"/>
        <v>1282.4439303520064</v>
      </c>
      <c r="W69" s="100">
        <f t="shared" si="9"/>
        <v>0</v>
      </c>
      <c r="X69" s="100">
        <f t="shared" si="9"/>
        <v>113.08742162033334</v>
      </c>
      <c r="Y69" s="100">
        <f t="shared" si="9"/>
        <v>1357.0490594440002</v>
      </c>
      <c r="Z69" s="151">
        <f t="shared" si="9"/>
        <v>1357.0490594440002</v>
      </c>
      <c r="AA69" s="448">
        <f t="shared" si="27"/>
        <v>0</v>
      </c>
      <c r="AB69" s="448">
        <f t="shared" si="28"/>
        <v>113.08742162033334</v>
      </c>
      <c r="AC69" s="448">
        <f t="shared" si="29"/>
        <v>1370.6195500384404</v>
      </c>
      <c r="AD69" s="448">
        <f t="shared" si="30"/>
        <v>1381.5845064387479</v>
      </c>
      <c r="AE69" s="285"/>
      <c r="AF69" s="100">
        <f t="shared" si="31"/>
        <v>0</v>
      </c>
      <c r="AG69" s="100">
        <f t="shared" si="32"/>
        <v>40598.384361699675</v>
      </c>
      <c r="AH69" s="100">
        <f t="shared" si="33"/>
        <v>39633.748655278228</v>
      </c>
      <c r="AI69" s="151">
        <f t="shared" si="34"/>
        <v>38569.234138081709</v>
      </c>
      <c r="AJ69" s="100">
        <f t="shared" si="35"/>
        <v>0</v>
      </c>
      <c r="AK69" s="100">
        <f t="shared" si="36"/>
        <v>1574.6292586415216</v>
      </c>
      <c r="AL69" s="100">
        <f t="shared" si="37"/>
        <v>2797.4345016284565</v>
      </c>
      <c r="AM69" s="151">
        <f t="shared" si="38"/>
        <v>2770.0769354096892</v>
      </c>
      <c r="AN69" s="100">
        <f t="shared" si="39"/>
        <v>7382.5278232499513</v>
      </c>
      <c r="AO69" s="100">
        <f t="shared" si="40"/>
        <v>8664.971753601958</v>
      </c>
      <c r="AP69" s="100">
        <f t="shared" si="41"/>
        <v>0</v>
      </c>
      <c r="AQ69" s="100">
        <f t="shared" si="42"/>
        <v>8379.0276857330937</v>
      </c>
      <c r="AR69" s="100">
        <f t="shared" si="43"/>
        <v>285.94406786886464</v>
      </c>
      <c r="AS69" s="100">
        <f t="shared" si="44"/>
        <v>0</v>
      </c>
    </row>
    <row r="70" spans="1:45" s="216" customFormat="1">
      <c r="A70" s="682" t="s">
        <v>877</v>
      </c>
      <c r="B70" s="683" t="s">
        <v>1145</v>
      </c>
      <c r="C70" s="684">
        <v>7218.9257569599995</v>
      </c>
      <c r="D70" s="685">
        <v>42004</v>
      </c>
      <c r="E70" s="691">
        <v>21</v>
      </c>
      <c r="F70" s="282" t="s">
        <v>876</v>
      </c>
      <c r="G70" s="687"/>
      <c r="H70" s="1310" t="s">
        <v>638</v>
      </c>
      <c r="I70" s="137">
        <f t="shared" si="20"/>
        <v>55</v>
      </c>
      <c r="J70" s="223">
        <f t="shared" si="0"/>
        <v>0.96699999999999997</v>
      </c>
      <c r="K70" s="223">
        <f t="shared" si="1"/>
        <v>3.3000000000000002E-2</v>
      </c>
      <c r="L70" s="223">
        <f t="shared" si="2"/>
        <v>0</v>
      </c>
      <c r="M70" s="445">
        <f t="shared" si="3"/>
        <v>0</v>
      </c>
      <c r="N70" s="445">
        <f t="shared" si="3"/>
        <v>1</v>
      </c>
      <c r="O70" s="445">
        <f t="shared" si="3"/>
        <v>1.01</v>
      </c>
      <c r="P70" s="445">
        <f t="shared" si="3"/>
        <v>1.0180800000000001</v>
      </c>
      <c r="Q70" s="440">
        <f t="shared" si="21"/>
        <v>72.189257569600002</v>
      </c>
      <c r="R70" s="134">
        <f t="shared" si="22"/>
        <v>0</v>
      </c>
      <c r="S70" s="134">
        <f t="shared" si="23"/>
        <v>72.189257569600002</v>
      </c>
      <c r="T70" s="134">
        <f t="shared" si="24"/>
        <v>72.911150145296006</v>
      </c>
      <c r="U70" s="1069">
        <f t="shared" si="25"/>
        <v>73.494439346458378</v>
      </c>
      <c r="V70" s="134">
        <f t="shared" si="26"/>
        <v>227.40193648484546</v>
      </c>
      <c r="W70" s="100">
        <f t="shared" si="9"/>
        <v>0</v>
      </c>
      <c r="X70" s="100">
        <f t="shared" si="9"/>
        <v>10.937766298424242</v>
      </c>
      <c r="Y70" s="100">
        <f t="shared" si="9"/>
        <v>131.25319558109089</v>
      </c>
      <c r="Z70" s="151">
        <f t="shared" si="9"/>
        <v>131.25319558109089</v>
      </c>
      <c r="AA70" s="448">
        <f t="shared" si="27"/>
        <v>0</v>
      </c>
      <c r="AB70" s="448">
        <f t="shared" si="28"/>
        <v>10.937766298424242</v>
      </c>
      <c r="AC70" s="448">
        <f t="shared" si="29"/>
        <v>132.56572753690179</v>
      </c>
      <c r="AD70" s="448">
        <f t="shared" si="30"/>
        <v>133.62625335719702</v>
      </c>
      <c r="AE70" s="285"/>
      <c r="AF70" s="100">
        <f t="shared" si="31"/>
        <v>0</v>
      </c>
      <c r="AG70" s="100">
        <f t="shared" si="32"/>
        <v>7207.9879906615752</v>
      </c>
      <c r="AH70" s="100">
        <f t="shared" si="33"/>
        <v>7147.5021430312891</v>
      </c>
      <c r="AI70" s="151">
        <f t="shared" si="34"/>
        <v>7071.055906818342</v>
      </c>
      <c r="AJ70" s="100">
        <f t="shared" si="35"/>
        <v>0</v>
      </c>
      <c r="AK70" s="100">
        <f t="shared" si="36"/>
        <v>270.42533396224093</v>
      </c>
      <c r="AL70" s="100">
        <f t="shared" si="37"/>
        <v>389.87580468602823</v>
      </c>
      <c r="AM70" s="151">
        <f t="shared" si="38"/>
        <v>388.1842660026573</v>
      </c>
      <c r="AN70" s="100">
        <f t="shared" si="39"/>
        <v>1086.147144089686</v>
      </c>
      <c r="AO70" s="100">
        <f t="shared" si="40"/>
        <v>1313.5490805745314</v>
      </c>
      <c r="AP70" s="100">
        <f t="shared" si="41"/>
        <v>0</v>
      </c>
      <c r="AQ70" s="100">
        <f t="shared" si="42"/>
        <v>1270.2019609155718</v>
      </c>
      <c r="AR70" s="100">
        <f t="shared" si="43"/>
        <v>43.347119658959542</v>
      </c>
      <c r="AS70" s="100">
        <f t="shared" si="44"/>
        <v>0</v>
      </c>
    </row>
    <row r="71" spans="1:45" s="216" customFormat="1">
      <c r="A71" s="682" t="s">
        <v>877</v>
      </c>
      <c r="B71" s="683" t="s">
        <v>1155</v>
      </c>
      <c r="C71" s="684">
        <v>4031.1871334399998</v>
      </c>
      <c r="D71" s="685">
        <v>42004</v>
      </c>
      <c r="E71" s="691">
        <v>32</v>
      </c>
      <c r="F71" s="282" t="s">
        <v>876</v>
      </c>
      <c r="G71" s="687"/>
      <c r="H71" s="1310" t="s">
        <v>638</v>
      </c>
      <c r="I71" s="137">
        <f t="shared" si="20"/>
        <v>30</v>
      </c>
      <c r="J71" s="223">
        <f t="shared" si="0"/>
        <v>0.96699999999999997</v>
      </c>
      <c r="K71" s="223">
        <f t="shared" si="1"/>
        <v>3.3000000000000002E-2</v>
      </c>
      <c r="L71" s="223">
        <f t="shared" si="2"/>
        <v>0</v>
      </c>
      <c r="M71" s="445">
        <f t="shared" si="3"/>
        <v>0</v>
      </c>
      <c r="N71" s="445">
        <f t="shared" si="3"/>
        <v>1</v>
      </c>
      <c r="O71" s="445">
        <f t="shared" si="3"/>
        <v>1.01</v>
      </c>
      <c r="P71" s="445">
        <f t="shared" si="3"/>
        <v>1.0180800000000001</v>
      </c>
      <c r="Q71" s="440">
        <f t="shared" si="21"/>
        <v>40.311871334399996</v>
      </c>
      <c r="R71" s="134">
        <f t="shared" si="22"/>
        <v>0</v>
      </c>
      <c r="S71" s="134">
        <f t="shared" si="23"/>
        <v>40.311871334399996</v>
      </c>
      <c r="T71" s="134">
        <f t="shared" si="24"/>
        <v>40.714990047743996</v>
      </c>
      <c r="U71" s="1069">
        <f t="shared" si="25"/>
        <v>41.040709968125952</v>
      </c>
      <c r="V71" s="134">
        <f t="shared" si="26"/>
        <v>126.98561965306669</v>
      </c>
      <c r="W71" s="100">
        <f t="shared" si="9"/>
        <v>0</v>
      </c>
      <c r="X71" s="100">
        <f t="shared" si="9"/>
        <v>11.197742037333333</v>
      </c>
      <c r="Y71" s="100">
        <f t="shared" si="9"/>
        <v>134.37290444799999</v>
      </c>
      <c r="Z71" s="151">
        <f t="shared" si="9"/>
        <v>134.37290444799999</v>
      </c>
      <c r="AA71" s="448">
        <f t="shared" si="27"/>
        <v>0</v>
      </c>
      <c r="AB71" s="448">
        <f t="shared" si="28"/>
        <v>11.197742037333333</v>
      </c>
      <c r="AC71" s="448">
        <f t="shared" si="29"/>
        <v>135.71663349247999</v>
      </c>
      <c r="AD71" s="448">
        <f t="shared" si="30"/>
        <v>136.80236656041984</v>
      </c>
      <c r="AE71" s="285"/>
      <c r="AF71" s="100">
        <f t="shared" si="31"/>
        <v>0</v>
      </c>
      <c r="AG71" s="100">
        <f t="shared" si="32"/>
        <v>4019.9893914026666</v>
      </c>
      <c r="AH71" s="100">
        <f t="shared" si="33"/>
        <v>3924.4726518242132</v>
      </c>
      <c r="AI71" s="151">
        <f t="shared" si="34"/>
        <v>3819.0660664783873</v>
      </c>
      <c r="AJ71" s="100">
        <f t="shared" si="35"/>
        <v>0</v>
      </c>
      <c r="AK71" s="100">
        <f t="shared" si="36"/>
        <v>155.91736012782934</v>
      </c>
      <c r="AL71" s="100">
        <f t="shared" si="37"/>
        <v>276.99764895815167</v>
      </c>
      <c r="AM71" s="151">
        <f t="shared" si="38"/>
        <v>274.28874495364175</v>
      </c>
      <c r="AN71" s="100">
        <f t="shared" si="39"/>
        <v>731.00651658437948</v>
      </c>
      <c r="AO71" s="100">
        <f t="shared" si="40"/>
        <v>857.99213623744618</v>
      </c>
      <c r="AP71" s="100">
        <f t="shared" si="41"/>
        <v>0</v>
      </c>
      <c r="AQ71" s="100">
        <f t="shared" si="42"/>
        <v>829.67839574161042</v>
      </c>
      <c r="AR71" s="100">
        <f t="shared" si="43"/>
        <v>28.313740495835724</v>
      </c>
      <c r="AS71" s="100">
        <f t="shared" si="44"/>
        <v>0</v>
      </c>
    </row>
    <row r="72" spans="1:45" s="216" customFormat="1">
      <c r="A72" s="682" t="s">
        <v>877</v>
      </c>
      <c r="B72" s="683" t="s">
        <v>1156</v>
      </c>
      <c r="C72" s="684">
        <v>38224.144200720009</v>
      </c>
      <c r="D72" s="685">
        <v>42004</v>
      </c>
      <c r="E72" s="691">
        <v>34</v>
      </c>
      <c r="F72" s="282" t="s">
        <v>876</v>
      </c>
      <c r="G72" s="687"/>
      <c r="H72" s="1310" t="s">
        <v>638</v>
      </c>
      <c r="I72" s="137">
        <f t="shared" si="20"/>
        <v>30</v>
      </c>
      <c r="J72" s="223">
        <f t="shared" si="0"/>
        <v>0.96699999999999997</v>
      </c>
      <c r="K72" s="223">
        <f t="shared" si="1"/>
        <v>3.3000000000000002E-2</v>
      </c>
      <c r="L72" s="223">
        <f t="shared" si="2"/>
        <v>0</v>
      </c>
      <c r="M72" s="445">
        <f t="shared" si="3"/>
        <v>0</v>
      </c>
      <c r="N72" s="445">
        <f t="shared" si="3"/>
        <v>1</v>
      </c>
      <c r="O72" s="445">
        <f t="shared" si="3"/>
        <v>1.01</v>
      </c>
      <c r="P72" s="445">
        <f t="shared" si="3"/>
        <v>1.0180800000000001</v>
      </c>
      <c r="Q72" s="440">
        <f t="shared" si="21"/>
        <v>382.24144200720008</v>
      </c>
      <c r="R72" s="134">
        <f t="shared" si="22"/>
        <v>0</v>
      </c>
      <c r="S72" s="134">
        <f t="shared" si="23"/>
        <v>382.24144200720008</v>
      </c>
      <c r="T72" s="134">
        <f t="shared" si="24"/>
        <v>386.06385642727207</v>
      </c>
      <c r="U72" s="1069">
        <f t="shared" si="25"/>
        <v>389.15236727869029</v>
      </c>
      <c r="V72" s="134">
        <f t="shared" si="26"/>
        <v>1204.0911216380402</v>
      </c>
      <c r="W72" s="100">
        <f t="shared" si="9"/>
        <v>0</v>
      </c>
      <c r="X72" s="100">
        <f t="shared" si="9"/>
        <v>106.17817833533336</v>
      </c>
      <c r="Y72" s="100">
        <f t="shared" si="9"/>
        <v>1274.1381400240002</v>
      </c>
      <c r="Z72" s="151">
        <f t="shared" si="9"/>
        <v>1274.1381400240002</v>
      </c>
      <c r="AA72" s="448">
        <f t="shared" si="27"/>
        <v>0</v>
      </c>
      <c r="AB72" s="448">
        <f t="shared" si="28"/>
        <v>106.17817833533336</v>
      </c>
      <c r="AC72" s="448">
        <f t="shared" si="29"/>
        <v>1286.8795214242402</v>
      </c>
      <c r="AD72" s="448">
        <f t="shared" si="30"/>
        <v>1297.1745575956343</v>
      </c>
      <c r="AE72" s="285"/>
      <c r="AF72" s="100">
        <f t="shared" si="31"/>
        <v>0</v>
      </c>
      <c r="AG72" s="100">
        <f t="shared" si="32"/>
        <v>38117.966022384673</v>
      </c>
      <c r="AH72" s="100">
        <f t="shared" si="33"/>
        <v>37212.266161184278</v>
      </c>
      <c r="AI72" s="151">
        <f t="shared" si="34"/>
        <v>36212.789732878118</v>
      </c>
      <c r="AJ72" s="100">
        <f t="shared" si="35"/>
        <v>0</v>
      </c>
      <c r="AK72" s="100">
        <f t="shared" si="36"/>
        <v>1478.4249551411815</v>
      </c>
      <c r="AL72" s="100">
        <f t="shared" si="37"/>
        <v>2626.5211032268744</v>
      </c>
      <c r="AM72" s="151">
        <f t="shared" si="38"/>
        <v>2600.8349879792468</v>
      </c>
      <c r="AN72" s="100">
        <f t="shared" si="39"/>
        <v>6931.4813668158959</v>
      </c>
      <c r="AO72" s="100">
        <f t="shared" si="40"/>
        <v>8135.5724884539359</v>
      </c>
      <c r="AP72" s="100">
        <f t="shared" si="41"/>
        <v>0</v>
      </c>
      <c r="AQ72" s="100">
        <f t="shared" si="42"/>
        <v>7867.0985963349558</v>
      </c>
      <c r="AR72" s="100">
        <f t="shared" si="43"/>
        <v>268.4738921189799</v>
      </c>
      <c r="AS72" s="100">
        <f t="shared" si="44"/>
        <v>0</v>
      </c>
    </row>
    <row r="73" spans="1:45" s="216" customFormat="1">
      <c r="A73" s="682" t="s">
        <v>877</v>
      </c>
      <c r="B73" s="683" t="s">
        <v>1152</v>
      </c>
      <c r="C73" s="684">
        <v>65.652191000000002</v>
      </c>
      <c r="D73" s="685">
        <v>42186</v>
      </c>
      <c r="E73" s="691">
        <v>2</v>
      </c>
      <c r="F73" s="282" t="s">
        <v>876</v>
      </c>
      <c r="G73" s="687"/>
      <c r="H73" s="1310" t="s">
        <v>638</v>
      </c>
      <c r="I73" s="137">
        <f t="shared" si="20"/>
        <v>30</v>
      </c>
      <c r="J73" s="223">
        <f t="shared" si="0"/>
        <v>0.96699999999999997</v>
      </c>
      <c r="K73" s="223">
        <f t="shared" si="1"/>
        <v>3.3000000000000002E-2</v>
      </c>
      <c r="L73" s="223">
        <f t="shared" si="2"/>
        <v>0</v>
      </c>
      <c r="M73" s="445">
        <f t="shared" si="3"/>
        <v>0</v>
      </c>
      <c r="N73" s="445">
        <f t="shared" si="3"/>
        <v>0</v>
      </c>
      <c r="O73" s="445">
        <f t="shared" si="3"/>
        <v>1</v>
      </c>
      <c r="P73" s="445">
        <f t="shared" si="3"/>
        <v>1.008</v>
      </c>
      <c r="Q73" s="440">
        <f t="shared" si="21"/>
        <v>0.65652191000000004</v>
      </c>
      <c r="R73" s="134">
        <f t="shared" si="22"/>
        <v>0</v>
      </c>
      <c r="S73" s="134">
        <f t="shared" si="23"/>
        <v>0</v>
      </c>
      <c r="T73" s="134">
        <f t="shared" si="24"/>
        <v>0.65652191000000004</v>
      </c>
      <c r="U73" s="1069">
        <f t="shared" si="25"/>
        <v>0.66177408528000004</v>
      </c>
      <c r="V73" s="134">
        <f t="shared" si="26"/>
        <v>1.3445568716799998</v>
      </c>
      <c r="W73" s="100">
        <f t="shared" si="9"/>
        <v>0</v>
      </c>
      <c r="X73" s="100">
        <f t="shared" si="9"/>
        <v>0</v>
      </c>
      <c r="Y73" s="100">
        <f t="shared" si="9"/>
        <v>1.0942031833333334</v>
      </c>
      <c r="Z73" s="151">
        <f t="shared" si="9"/>
        <v>2.1884063666666669</v>
      </c>
      <c r="AA73" s="448">
        <f t="shared" si="27"/>
        <v>0</v>
      </c>
      <c r="AB73" s="448">
        <f t="shared" si="28"/>
        <v>0</v>
      </c>
      <c r="AC73" s="448">
        <f t="shared" si="29"/>
        <v>1.0942031833333334</v>
      </c>
      <c r="AD73" s="448">
        <f t="shared" si="30"/>
        <v>2.2059136176000003</v>
      </c>
      <c r="AE73" s="285"/>
      <c r="AF73" s="100">
        <f t="shared" si="31"/>
        <v>0</v>
      </c>
      <c r="AG73" s="100">
        <f t="shared" si="32"/>
        <v>0</v>
      </c>
      <c r="AH73" s="100">
        <f t="shared" si="33"/>
        <v>64.557987816666667</v>
      </c>
      <c r="AI73" s="151">
        <f t="shared" si="34"/>
        <v>62.868538101599995</v>
      </c>
      <c r="AJ73" s="100">
        <f t="shared" si="35"/>
        <v>0</v>
      </c>
      <c r="AK73" s="100">
        <f t="shared" si="36"/>
        <v>0</v>
      </c>
      <c r="AL73" s="100">
        <f t="shared" si="37"/>
        <v>3.4182907447333335</v>
      </c>
      <c r="AM73" s="151">
        <f t="shared" si="38"/>
        <v>4.4691809892576</v>
      </c>
      <c r="AN73" s="100">
        <f t="shared" si="39"/>
        <v>8.0242033637802663</v>
      </c>
      <c r="AO73" s="100">
        <f t="shared" si="40"/>
        <v>9.3687602354602664</v>
      </c>
      <c r="AP73" s="100">
        <f t="shared" si="41"/>
        <v>0</v>
      </c>
      <c r="AQ73" s="100">
        <f t="shared" si="42"/>
        <v>9.0595911476900781</v>
      </c>
      <c r="AR73" s="100">
        <f t="shared" si="43"/>
        <v>0.30916908777018881</v>
      </c>
      <c r="AS73" s="100">
        <f t="shared" si="44"/>
        <v>0</v>
      </c>
    </row>
    <row r="74" spans="1:45" s="216" customFormat="1">
      <c r="A74" s="682" t="s">
        <v>877</v>
      </c>
      <c r="B74" s="683" t="s">
        <v>1133</v>
      </c>
      <c r="C74" s="684">
        <v>3727.1325436999996</v>
      </c>
      <c r="D74" s="685">
        <v>42186</v>
      </c>
      <c r="E74" s="691">
        <v>15</v>
      </c>
      <c r="F74" s="282" t="s">
        <v>876</v>
      </c>
      <c r="G74" s="687"/>
      <c r="H74" s="1310" t="s">
        <v>638</v>
      </c>
      <c r="I74" s="137">
        <f t="shared" si="20"/>
        <v>30</v>
      </c>
      <c r="J74" s="223">
        <f t="shared" si="0"/>
        <v>0.96699999999999997</v>
      </c>
      <c r="K74" s="223">
        <f t="shared" si="1"/>
        <v>3.3000000000000002E-2</v>
      </c>
      <c r="L74" s="223">
        <f t="shared" si="2"/>
        <v>0</v>
      </c>
      <c r="M74" s="445">
        <f t="shared" si="3"/>
        <v>0</v>
      </c>
      <c r="N74" s="445">
        <f t="shared" si="3"/>
        <v>0</v>
      </c>
      <c r="O74" s="445">
        <f t="shared" si="3"/>
        <v>1</v>
      </c>
      <c r="P74" s="445">
        <f t="shared" si="3"/>
        <v>1.008</v>
      </c>
      <c r="Q74" s="440">
        <f t="shared" si="21"/>
        <v>37.271325436999994</v>
      </c>
      <c r="R74" s="134">
        <f t="shared" si="22"/>
        <v>0</v>
      </c>
      <c r="S74" s="134">
        <f t="shared" si="23"/>
        <v>0</v>
      </c>
      <c r="T74" s="134">
        <f t="shared" si="24"/>
        <v>37.271325436999994</v>
      </c>
      <c r="U74" s="1069">
        <f t="shared" si="25"/>
        <v>37.569496040495991</v>
      </c>
      <c r="V74" s="134">
        <f t="shared" si="26"/>
        <v>76.331674494975971</v>
      </c>
      <c r="W74" s="100">
        <f t="shared" si="9"/>
        <v>0</v>
      </c>
      <c r="X74" s="100">
        <f t="shared" si="9"/>
        <v>0</v>
      </c>
      <c r="Y74" s="100">
        <f t="shared" si="9"/>
        <v>62.118875728333329</v>
      </c>
      <c r="Z74" s="151">
        <f t="shared" si="9"/>
        <v>124.23775145666666</v>
      </c>
      <c r="AA74" s="448">
        <f t="shared" si="27"/>
        <v>0</v>
      </c>
      <c r="AB74" s="448">
        <f t="shared" si="28"/>
        <v>0</v>
      </c>
      <c r="AC74" s="448">
        <f t="shared" si="29"/>
        <v>62.118875728333329</v>
      </c>
      <c r="AD74" s="448">
        <f t="shared" si="30"/>
        <v>125.23165346831999</v>
      </c>
      <c r="AE74" s="285"/>
      <c r="AF74" s="100">
        <f t="shared" si="31"/>
        <v>0</v>
      </c>
      <c r="AG74" s="100">
        <f t="shared" si="32"/>
        <v>0</v>
      </c>
      <c r="AH74" s="100">
        <f t="shared" si="33"/>
        <v>3665.0136679716661</v>
      </c>
      <c r="AI74" s="151">
        <f t="shared" si="34"/>
        <v>3569.1021238471194</v>
      </c>
      <c r="AJ74" s="100">
        <f t="shared" si="35"/>
        <v>0</v>
      </c>
      <c r="AK74" s="100">
        <f t="shared" si="36"/>
        <v>0</v>
      </c>
      <c r="AL74" s="100">
        <f t="shared" si="37"/>
        <v>194.05936777531332</v>
      </c>
      <c r="AM74" s="151">
        <f t="shared" si="38"/>
        <v>253.71932992681627</v>
      </c>
      <c r="AN74" s="100">
        <f t="shared" si="39"/>
        <v>455.54107241314205</v>
      </c>
      <c r="AO74" s="100">
        <f t="shared" si="40"/>
        <v>531.87274690811796</v>
      </c>
      <c r="AP74" s="100">
        <f t="shared" si="41"/>
        <v>0</v>
      </c>
      <c r="AQ74" s="100">
        <f t="shared" si="42"/>
        <v>514.32094626015009</v>
      </c>
      <c r="AR74" s="100">
        <f t="shared" si="43"/>
        <v>17.551800647967895</v>
      </c>
      <c r="AS74" s="100">
        <f t="shared" si="44"/>
        <v>0</v>
      </c>
    </row>
    <row r="75" spans="1:45" s="216" customFormat="1">
      <c r="A75" s="682" t="s">
        <v>877</v>
      </c>
      <c r="B75" s="683" t="s">
        <v>1147</v>
      </c>
      <c r="C75" s="684">
        <v>636.43173260000003</v>
      </c>
      <c r="D75" s="685">
        <v>42186</v>
      </c>
      <c r="E75" s="691">
        <v>21</v>
      </c>
      <c r="F75" s="282" t="s">
        <v>876</v>
      </c>
      <c r="G75" s="687"/>
      <c r="H75" s="1310" t="s">
        <v>638</v>
      </c>
      <c r="I75" s="137">
        <f t="shared" si="20"/>
        <v>55</v>
      </c>
      <c r="J75" s="223">
        <f t="shared" si="0"/>
        <v>0.96699999999999997</v>
      </c>
      <c r="K75" s="223">
        <f t="shared" si="1"/>
        <v>3.3000000000000002E-2</v>
      </c>
      <c r="L75" s="223">
        <f t="shared" si="2"/>
        <v>0</v>
      </c>
      <c r="M75" s="445">
        <f t="shared" si="3"/>
        <v>0</v>
      </c>
      <c r="N75" s="445">
        <f t="shared" si="3"/>
        <v>0</v>
      </c>
      <c r="O75" s="445">
        <f t="shared" si="3"/>
        <v>1</v>
      </c>
      <c r="P75" s="445">
        <f t="shared" si="3"/>
        <v>1.008</v>
      </c>
      <c r="Q75" s="440">
        <f t="shared" si="21"/>
        <v>6.3643173260000001</v>
      </c>
      <c r="R75" s="134">
        <f t="shared" si="22"/>
        <v>0</v>
      </c>
      <c r="S75" s="134">
        <f t="shared" si="23"/>
        <v>0</v>
      </c>
      <c r="T75" s="134">
        <f t="shared" si="24"/>
        <v>6.3643173260000001</v>
      </c>
      <c r="U75" s="1069">
        <f t="shared" si="25"/>
        <v>6.4152318646079998</v>
      </c>
      <c r="V75" s="134">
        <f t="shared" si="26"/>
        <v>13.034121883647998</v>
      </c>
      <c r="W75" s="100">
        <f t="shared" si="9"/>
        <v>0</v>
      </c>
      <c r="X75" s="100">
        <f t="shared" si="9"/>
        <v>0</v>
      </c>
      <c r="Y75" s="100">
        <f t="shared" si="9"/>
        <v>5.7857430236363641</v>
      </c>
      <c r="Z75" s="151">
        <f t="shared" si="9"/>
        <v>11.571486047272728</v>
      </c>
      <c r="AA75" s="448">
        <f t="shared" si="27"/>
        <v>0</v>
      </c>
      <c r="AB75" s="448">
        <f t="shared" si="28"/>
        <v>0</v>
      </c>
      <c r="AC75" s="448">
        <f t="shared" si="29"/>
        <v>5.7857430236363641</v>
      </c>
      <c r="AD75" s="448">
        <f t="shared" si="30"/>
        <v>11.664057935650909</v>
      </c>
      <c r="AE75" s="285"/>
      <c r="AF75" s="100">
        <f t="shared" si="31"/>
        <v>0</v>
      </c>
      <c r="AG75" s="100">
        <f t="shared" si="32"/>
        <v>0</v>
      </c>
      <c r="AH75" s="100">
        <f t="shared" si="33"/>
        <v>630.64598957636372</v>
      </c>
      <c r="AI75" s="151">
        <f t="shared" si="34"/>
        <v>624.02709955732371</v>
      </c>
      <c r="AJ75" s="100">
        <f t="shared" si="35"/>
        <v>0</v>
      </c>
      <c r="AK75" s="100">
        <f t="shared" si="36"/>
        <v>0</v>
      </c>
      <c r="AL75" s="100">
        <f t="shared" si="37"/>
        <v>28.488998648385458</v>
      </c>
      <c r="AM75" s="151">
        <f t="shared" si="38"/>
        <v>34.129033519714561</v>
      </c>
      <c r="AN75" s="100">
        <f t="shared" si="39"/>
        <v>63.757592114035425</v>
      </c>
      <c r="AO75" s="100">
        <f t="shared" si="40"/>
        <v>76.791713997683416</v>
      </c>
      <c r="AP75" s="100">
        <f t="shared" si="41"/>
        <v>0</v>
      </c>
      <c r="AQ75" s="100">
        <f t="shared" si="42"/>
        <v>74.257587435759859</v>
      </c>
      <c r="AR75" s="100">
        <f t="shared" si="43"/>
        <v>2.5341265619235527</v>
      </c>
      <c r="AS75" s="100">
        <f t="shared" si="44"/>
        <v>0</v>
      </c>
    </row>
    <row r="76" spans="1:45" s="216" customFormat="1">
      <c r="A76" s="682" t="s">
        <v>877</v>
      </c>
      <c r="B76" s="683" t="s">
        <v>1157</v>
      </c>
      <c r="C76" s="684">
        <v>393.91314599999998</v>
      </c>
      <c r="D76" s="685">
        <v>42186</v>
      </c>
      <c r="E76" s="691">
        <v>32</v>
      </c>
      <c r="F76" s="282" t="s">
        <v>876</v>
      </c>
      <c r="G76" s="687"/>
      <c r="H76" s="1310" t="s">
        <v>638</v>
      </c>
      <c r="I76" s="137">
        <f t="shared" si="20"/>
        <v>30</v>
      </c>
      <c r="J76" s="223">
        <f t="shared" si="0"/>
        <v>0.96699999999999997</v>
      </c>
      <c r="K76" s="223">
        <f t="shared" si="1"/>
        <v>3.3000000000000002E-2</v>
      </c>
      <c r="L76" s="223">
        <f t="shared" si="2"/>
        <v>0</v>
      </c>
      <c r="M76" s="445">
        <f t="shared" si="3"/>
        <v>0</v>
      </c>
      <c r="N76" s="445">
        <f t="shared" si="3"/>
        <v>0</v>
      </c>
      <c r="O76" s="445">
        <f t="shared" si="3"/>
        <v>1</v>
      </c>
      <c r="P76" s="445">
        <f t="shared" si="3"/>
        <v>1.008</v>
      </c>
      <c r="Q76" s="440">
        <f t="shared" si="21"/>
        <v>3.93913146</v>
      </c>
      <c r="R76" s="134">
        <f t="shared" si="22"/>
        <v>0</v>
      </c>
      <c r="S76" s="134">
        <f t="shared" si="23"/>
        <v>0</v>
      </c>
      <c r="T76" s="134">
        <f t="shared" si="24"/>
        <v>3.93913146</v>
      </c>
      <c r="U76" s="1069">
        <f t="shared" si="25"/>
        <v>3.9706445116800002</v>
      </c>
      <c r="V76" s="134">
        <f t="shared" si="26"/>
        <v>8.0673412300799985</v>
      </c>
      <c r="W76" s="100">
        <f t="shared" si="9"/>
        <v>0</v>
      </c>
      <c r="X76" s="100">
        <f t="shared" si="9"/>
        <v>0</v>
      </c>
      <c r="Y76" s="100">
        <f t="shared" si="9"/>
        <v>6.5652190999999993</v>
      </c>
      <c r="Z76" s="151">
        <f t="shared" si="9"/>
        <v>13.130438199999999</v>
      </c>
      <c r="AA76" s="448">
        <f t="shared" si="27"/>
        <v>0</v>
      </c>
      <c r="AB76" s="448">
        <f t="shared" si="28"/>
        <v>0</v>
      </c>
      <c r="AC76" s="448">
        <f t="shared" si="29"/>
        <v>6.5652190999999993</v>
      </c>
      <c r="AD76" s="448">
        <f t="shared" si="30"/>
        <v>13.235481705599998</v>
      </c>
      <c r="AE76" s="285"/>
      <c r="AF76" s="100">
        <f t="shared" si="31"/>
        <v>0</v>
      </c>
      <c r="AG76" s="100">
        <f t="shared" si="32"/>
        <v>0</v>
      </c>
      <c r="AH76" s="100">
        <f t="shared" si="33"/>
        <v>387.3479269</v>
      </c>
      <c r="AI76" s="151">
        <f t="shared" si="34"/>
        <v>377.21122860959997</v>
      </c>
      <c r="AJ76" s="100">
        <f t="shared" si="35"/>
        <v>0</v>
      </c>
      <c r="AK76" s="100">
        <f t="shared" si="36"/>
        <v>0</v>
      </c>
      <c r="AL76" s="100">
        <f t="shared" si="37"/>
        <v>20.509744468399997</v>
      </c>
      <c r="AM76" s="151">
        <f t="shared" si="38"/>
        <v>26.815085935545596</v>
      </c>
      <c r="AN76" s="100">
        <f t="shared" si="39"/>
        <v>48.145220182681584</v>
      </c>
      <c r="AO76" s="100">
        <f t="shared" si="40"/>
        <v>56.21256141276158</v>
      </c>
      <c r="AP76" s="100">
        <f t="shared" si="41"/>
        <v>0</v>
      </c>
      <c r="AQ76" s="100">
        <f t="shared" si="42"/>
        <v>54.357546886140447</v>
      </c>
      <c r="AR76" s="100">
        <f t="shared" si="43"/>
        <v>1.8550145266211322</v>
      </c>
      <c r="AS76" s="100">
        <f t="shared" si="44"/>
        <v>0</v>
      </c>
    </row>
    <row r="77" spans="1:45" s="216" customFormat="1">
      <c r="A77" s="682" t="s">
        <v>877</v>
      </c>
      <c r="B77" s="683" t="s">
        <v>1158</v>
      </c>
      <c r="C77" s="684">
        <v>3340.8467863000001</v>
      </c>
      <c r="D77" s="685">
        <v>42186</v>
      </c>
      <c r="E77" s="691">
        <v>34</v>
      </c>
      <c r="F77" s="282" t="s">
        <v>876</v>
      </c>
      <c r="G77" s="687"/>
      <c r="H77" s="1310" t="s">
        <v>638</v>
      </c>
      <c r="I77" s="137">
        <f t="shared" si="20"/>
        <v>30</v>
      </c>
      <c r="J77" s="223">
        <f t="shared" si="0"/>
        <v>0.96699999999999997</v>
      </c>
      <c r="K77" s="223">
        <f t="shared" si="1"/>
        <v>3.3000000000000002E-2</v>
      </c>
      <c r="L77" s="223">
        <f t="shared" si="2"/>
        <v>0</v>
      </c>
      <c r="M77" s="445">
        <f t="shared" si="3"/>
        <v>0</v>
      </c>
      <c r="N77" s="445">
        <f t="shared" si="3"/>
        <v>0</v>
      </c>
      <c r="O77" s="445">
        <f t="shared" si="3"/>
        <v>1</v>
      </c>
      <c r="P77" s="445">
        <f t="shared" si="3"/>
        <v>1.008</v>
      </c>
      <c r="Q77" s="440">
        <f t="shared" si="21"/>
        <v>33.408467862999998</v>
      </c>
      <c r="R77" s="134">
        <f t="shared" si="22"/>
        <v>0</v>
      </c>
      <c r="S77" s="134">
        <f t="shared" si="23"/>
        <v>0</v>
      </c>
      <c r="T77" s="134">
        <f t="shared" si="24"/>
        <v>33.408467862999998</v>
      </c>
      <c r="U77" s="1069">
        <f t="shared" si="25"/>
        <v>33.675735605904002</v>
      </c>
      <c r="V77" s="134">
        <f t="shared" si="26"/>
        <v>68.42054218342399</v>
      </c>
      <c r="W77" s="100">
        <f t="shared" si="9"/>
        <v>0</v>
      </c>
      <c r="X77" s="100">
        <f t="shared" si="9"/>
        <v>0</v>
      </c>
      <c r="Y77" s="100">
        <f t="shared" si="9"/>
        <v>55.680779771666671</v>
      </c>
      <c r="Z77" s="151">
        <f t="shared" si="9"/>
        <v>111.36155954333334</v>
      </c>
      <c r="AA77" s="448">
        <f t="shared" si="27"/>
        <v>0</v>
      </c>
      <c r="AB77" s="448">
        <f t="shared" si="28"/>
        <v>0</v>
      </c>
      <c r="AC77" s="448">
        <f t="shared" si="29"/>
        <v>55.680779771666671</v>
      </c>
      <c r="AD77" s="448">
        <f t="shared" si="30"/>
        <v>112.25245201968001</v>
      </c>
      <c r="AE77" s="285"/>
      <c r="AF77" s="100">
        <f t="shared" si="31"/>
        <v>0</v>
      </c>
      <c r="AG77" s="100">
        <f t="shared" si="32"/>
        <v>0</v>
      </c>
      <c r="AH77" s="100">
        <f t="shared" si="33"/>
        <v>3285.1660065283336</v>
      </c>
      <c r="AI77" s="151">
        <f t="shared" si="34"/>
        <v>3199.1948825608806</v>
      </c>
      <c r="AJ77" s="100">
        <f t="shared" si="35"/>
        <v>0</v>
      </c>
      <c r="AK77" s="100">
        <f t="shared" si="36"/>
        <v>0</v>
      </c>
      <c r="AL77" s="100">
        <f t="shared" si="37"/>
        <v>173.94675600668668</v>
      </c>
      <c r="AM77" s="151">
        <f t="shared" si="38"/>
        <v>227.4234677918717</v>
      </c>
      <c r="AN77" s="100">
        <f t="shared" si="39"/>
        <v>408.32809403882578</v>
      </c>
      <c r="AO77" s="100">
        <f t="shared" si="40"/>
        <v>476.74863622224979</v>
      </c>
      <c r="AP77" s="100">
        <f t="shared" si="41"/>
        <v>0</v>
      </c>
      <c r="AQ77" s="100">
        <f t="shared" si="42"/>
        <v>461.01593122691554</v>
      </c>
      <c r="AR77" s="100">
        <f t="shared" si="43"/>
        <v>15.732704995334243</v>
      </c>
      <c r="AS77" s="100">
        <f t="shared" si="44"/>
        <v>0</v>
      </c>
    </row>
    <row r="78" spans="1:45" s="216" customFormat="1">
      <c r="A78" s="682" t="s">
        <v>880</v>
      </c>
      <c r="B78" s="683" t="s">
        <v>881</v>
      </c>
      <c r="C78" s="684">
        <v>669424.75994608609</v>
      </c>
      <c r="D78" s="685">
        <v>41389</v>
      </c>
      <c r="E78" s="686">
        <v>17</v>
      </c>
      <c r="F78" s="282" t="s">
        <v>882</v>
      </c>
      <c r="G78" s="687" t="s">
        <v>662</v>
      </c>
      <c r="H78" s="1060" t="s">
        <v>662</v>
      </c>
      <c r="I78" s="137">
        <f t="shared" si="20"/>
        <v>30</v>
      </c>
      <c r="J78" s="223">
        <f t="shared" si="0"/>
        <v>0</v>
      </c>
      <c r="K78" s="223">
        <f t="shared" si="1"/>
        <v>0</v>
      </c>
      <c r="L78" s="223">
        <f t="shared" si="2"/>
        <v>1</v>
      </c>
      <c r="M78" s="445">
        <f t="shared" si="3"/>
        <v>1</v>
      </c>
      <c r="N78" s="445">
        <f t="shared" si="3"/>
        <v>1.028</v>
      </c>
      <c r="O78" s="445">
        <f t="shared" si="3"/>
        <v>1.0382800000000001</v>
      </c>
      <c r="P78" s="445">
        <f t="shared" si="3"/>
        <v>1.0465862400000001</v>
      </c>
      <c r="Q78" s="440">
        <f t="shared" si="21"/>
        <v>6694.2475994608612</v>
      </c>
      <c r="R78" s="134">
        <f t="shared" si="22"/>
        <v>6694.2475994608612</v>
      </c>
      <c r="S78" s="134">
        <f t="shared" si="23"/>
        <v>6881.6865322457652</v>
      </c>
      <c r="T78" s="134">
        <f t="shared" si="24"/>
        <v>6950.5033975682236</v>
      </c>
      <c r="U78" s="1069">
        <f t="shared" si="25"/>
        <v>7006.1074247487695</v>
      </c>
      <c r="V78" s="134">
        <f t="shared" si="26"/>
        <v>7006.1074247487695</v>
      </c>
      <c r="W78" s="100">
        <f t="shared" si="9"/>
        <v>16735.618998652153</v>
      </c>
      <c r="X78" s="100">
        <f t="shared" si="9"/>
        <v>22314.158664869537</v>
      </c>
      <c r="Y78" s="100">
        <f t="shared" si="9"/>
        <v>22314.158664869537</v>
      </c>
      <c r="Z78" s="151">
        <f t="shared" si="9"/>
        <v>22314.158664869537</v>
      </c>
      <c r="AA78" s="448">
        <f t="shared" si="27"/>
        <v>16735.618998652153</v>
      </c>
      <c r="AB78" s="448">
        <f t="shared" si="28"/>
        <v>22938.955107485886</v>
      </c>
      <c r="AC78" s="448">
        <f t="shared" si="29"/>
        <v>23168.344658560745</v>
      </c>
      <c r="AD78" s="448">
        <f t="shared" si="30"/>
        <v>23353.691415829231</v>
      </c>
      <c r="AE78" s="285"/>
      <c r="AF78" s="100">
        <f t="shared" si="31"/>
        <v>652689.14094743389</v>
      </c>
      <c r="AG78" s="100">
        <f t="shared" si="32"/>
        <v>648025.48178647622</v>
      </c>
      <c r="AH78" s="100">
        <f t="shared" si="33"/>
        <v>631337.39194578025</v>
      </c>
      <c r="AI78" s="151">
        <f t="shared" si="34"/>
        <v>613034.39966551727</v>
      </c>
      <c r="AJ78" s="100">
        <f t="shared" si="35"/>
        <v>54591.589173603323</v>
      </c>
      <c r="AK78" s="100">
        <f t="shared" si="36"/>
        <v>46267.872451799027</v>
      </c>
      <c r="AL78" s="100">
        <f t="shared" si="37"/>
        <v>45896.490768608834</v>
      </c>
      <c r="AM78" s="151">
        <f t="shared" si="38"/>
        <v>45422.929803787847</v>
      </c>
      <c r="AN78" s="100">
        <f t="shared" si="39"/>
        <v>45422.929803787847</v>
      </c>
      <c r="AO78" s="100">
        <f t="shared" si="40"/>
        <v>52429.037228536617</v>
      </c>
      <c r="AP78" s="100">
        <f t="shared" si="41"/>
        <v>0</v>
      </c>
      <c r="AQ78" s="100">
        <f t="shared" si="42"/>
        <v>0</v>
      </c>
      <c r="AR78" s="100">
        <f t="shared" si="43"/>
        <v>0</v>
      </c>
      <c r="AS78" s="100">
        <f t="shared" si="44"/>
        <v>52429.037228536617</v>
      </c>
    </row>
    <row r="79" spans="1:45" s="216" customFormat="1">
      <c r="A79" s="682" t="s">
        <v>880</v>
      </c>
      <c r="B79" s="683" t="s">
        <v>883</v>
      </c>
      <c r="C79" s="684">
        <v>25133.944464</v>
      </c>
      <c r="D79" s="685">
        <v>41821</v>
      </c>
      <c r="E79" s="686">
        <v>17</v>
      </c>
      <c r="F79" s="282" t="s">
        <v>882</v>
      </c>
      <c r="G79" s="687"/>
      <c r="H79" s="1060" t="s">
        <v>662</v>
      </c>
      <c r="I79" s="137">
        <f t="shared" si="20"/>
        <v>30</v>
      </c>
      <c r="J79" s="223">
        <f t="shared" si="0"/>
        <v>0</v>
      </c>
      <c r="K79" s="223">
        <f t="shared" si="1"/>
        <v>0</v>
      </c>
      <c r="L79" s="223">
        <f t="shared" si="2"/>
        <v>1</v>
      </c>
      <c r="M79" s="445">
        <f t="shared" si="3"/>
        <v>0</v>
      </c>
      <c r="N79" s="445">
        <f t="shared" si="3"/>
        <v>1</v>
      </c>
      <c r="O79" s="445">
        <f t="shared" si="3"/>
        <v>1.01</v>
      </c>
      <c r="P79" s="445">
        <f t="shared" si="3"/>
        <v>1.0180800000000001</v>
      </c>
      <c r="Q79" s="440">
        <f t="shared" si="21"/>
        <v>251.33944464000001</v>
      </c>
      <c r="R79" s="134">
        <f t="shared" si="22"/>
        <v>0</v>
      </c>
      <c r="S79" s="134">
        <f t="shared" si="23"/>
        <v>251.33944464000001</v>
      </c>
      <c r="T79" s="134">
        <f t="shared" si="24"/>
        <v>253.85283908640002</v>
      </c>
      <c r="U79" s="1069">
        <f t="shared" si="25"/>
        <v>255.88366179909124</v>
      </c>
      <c r="V79" s="134">
        <f t="shared" si="26"/>
        <v>255.88366179909124</v>
      </c>
      <c r="W79" s="100">
        <f t="shared" si="9"/>
        <v>0</v>
      </c>
      <c r="X79" s="100">
        <f t="shared" si="9"/>
        <v>418.89907440000002</v>
      </c>
      <c r="Y79" s="100">
        <f t="shared" si="9"/>
        <v>837.79814880000004</v>
      </c>
      <c r="Z79" s="151">
        <f t="shared" si="9"/>
        <v>837.79814880000004</v>
      </c>
      <c r="AA79" s="448">
        <f t="shared" si="27"/>
        <v>0</v>
      </c>
      <c r="AB79" s="448">
        <f t="shared" si="28"/>
        <v>418.89907440000002</v>
      </c>
      <c r="AC79" s="448">
        <f t="shared" si="29"/>
        <v>846.17613028800008</v>
      </c>
      <c r="AD79" s="448">
        <f t="shared" si="30"/>
        <v>852.94553933030409</v>
      </c>
      <c r="AE79" s="285"/>
      <c r="AF79" s="100">
        <f t="shared" si="31"/>
        <v>0</v>
      </c>
      <c r="AG79" s="100">
        <f t="shared" si="32"/>
        <v>24715.0453896</v>
      </c>
      <c r="AH79" s="100">
        <f t="shared" si="33"/>
        <v>24116.019713207999</v>
      </c>
      <c r="AI79" s="151">
        <f t="shared" si="34"/>
        <v>23456.002331583361</v>
      </c>
      <c r="AJ79" s="100">
        <f t="shared" si="35"/>
        <v>0</v>
      </c>
      <c r="AK79" s="100">
        <f t="shared" si="36"/>
        <v>1308.6407084256</v>
      </c>
      <c r="AL79" s="100">
        <f t="shared" si="37"/>
        <v>1714.3528399634879</v>
      </c>
      <c r="AM79" s="151">
        <f t="shared" si="38"/>
        <v>1697.361623267305</v>
      </c>
      <c r="AN79" s="100">
        <f t="shared" si="39"/>
        <v>1697.361623267305</v>
      </c>
      <c r="AO79" s="100">
        <f t="shared" si="40"/>
        <v>1953.2452850663963</v>
      </c>
      <c r="AP79" s="100">
        <f t="shared" si="41"/>
        <v>0</v>
      </c>
      <c r="AQ79" s="100">
        <f t="shared" si="42"/>
        <v>0</v>
      </c>
      <c r="AR79" s="100">
        <f t="shared" si="43"/>
        <v>0</v>
      </c>
      <c r="AS79" s="100">
        <f t="shared" si="44"/>
        <v>1953.2452850663963</v>
      </c>
    </row>
    <row r="80" spans="1:45" s="216" customFormat="1">
      <c r="A80" s="682" t="s">
        <v>880</v>
      </c>
      <c r="B80" s="683" t="s">
        <v>1153</v>
      </c>
      <c r="C80" s="684">
        <v>-33860.500388</v>
      </c>
      <c r="D80" s="685">
        <v>42004</v>
      </c>
      <c r="E80" s="691">
        <v>17</v>
      </c>
      <c r="F80" s="282" t="s">
        <v>882</v>
      </c>
      <c r="G80" s="687"/>
      <c r="H80" s="1310" t="s">
        <v>638</v>
      </c>
      <c r="I80" s="137">
        <f t="shared" si="20"/>
        <v>30</v>
      </c>
      <c r="J80" s="223">
        <f t="shared" si="0"/>
        <v>0</v>
      </c>
      <c r="K80" s="223">
        <f t="shared" si="1"/>
        <v>0</v>
      </c>
      <c r="L80" s="223">
        <f t="shared" si="2"/>
        <v>1</v>
      </c>
      <c r="M80" s="445">
        <f t="shared" si="3"/>
        <v>0</v>
      </c>
      <c r="N80" s="445">
        <f t="shared" si="3"/>
        <v>1</v>
      </c>
      <c r="O80" s="445">
        <f t="shared" si="3"/>
        <v>1.01</v>
      </c>
      <c r="P80" s="445">
        <f t="shared" si="3"/>
        <v>1.0180800000000001</v>
      </c>
      <c r="Q80" s="440">
        <f t="shared" si="21"/>
        <v>-338.60500388000003</v>
      </c>
      <c r="R80" s="134">
        <f t="shared" si="22"/>
        <v>0</v>
      </c>
      <c r="S80" s="134">
        <f t="shared" si="23"/>
        <v>-338.60500388000003</v>
      </c>
      <c r="T80" s="134">
        <f t="shared" si="24"/>
        <v>-341.99105391880005</v>
      </c>
      <c r="U80" s="1069">
        <f t="shared" si="25"/>
        <v>-344.72698235015048</v>
      </c>
      <c r="V80" s="134">
        <f t="shared" si="26"/>
        <v>-1066.6328506223103</v>
      </c>
      <c r="W80" s="100">
        <f t="shared" si="9"/>
        <v>0</v>
      </c>
      <c r="X80" s="100">
        <f t="shared" si="9"/>
        <v>-94.056945522222208</v>
      </c>
      <c r="Y80" s="100">
        <f t="shared" si="9"/>
        <v>-1128.6833462666666</v>
      </c>
      <c r="Z80" s="151">
        <f t="shared" si="9"/>
        <v>-1128.6833462666666</v>
      </c>
      <c r="AA80" s="448">
        <f t="shared" si="27"/>
        <v>0</v>
      </c>
      <c r="AB80" s="448">
        <f t="shared" si="28"/>
        <v>-94.056945522222208</v>
      </c>
      <c r="AC80" s="448">
        <f t="shared" si="29"/>
        <v>-1139.9701797293333</v>
      </c>
      <c r="AD80" s="448">
        <f t="shared" si="30"/>
        <v>-1149.089941167168</v>
      </c>
      <c r="AE80" s="285"/>
      <c r="AF80" s="100">
        <f t="shared" si="31"/>
        <v>0</v>
      </c>
      <c r="AG80" s="100">
        <f t="shared" si="32"/>
        <v>-33766.443442477779</v>
      </c>
      <c r="AH80" s="100">
        <f t="shared" si="33"/>
        <v>-32964.137697173224</v>
      </c>
      <c r="AI80" s="151">
        <f t="shared" si="34"/>
        <v>-32078.760857583442</v>
      </c>
      <c r="AJ80" s="100">
        <f t="shared" si="35"/>
        <v>0</v>
      </c>
      <c r="AK80" s="100">
        <f t="shared" si="36"/>
        <v>-1309.648909451422</v>
      </c>
      <c r="AL80" s="100">
        <f t="shared" si="37"/>
        <v>-2326.679136827569</v>
      </c>
      <c r="AM80" s="151">
        <f t="shared" si="38"/>
        <v>-2303.9253320401722</v>
      </c>
      <c r="AN80" s="100">
        <f t="shared" si="39"/>
        <v>-6140.1878948035001</v>
      </c>
      <c r="AO80" s="100">
        <f t="shared" si="40"/>
        <v>-7206.8207454258099</v>
      </c>
      <c r="AP80" s="100">
        <f t="shared" si="41"/>
        <v>0</v>
      </c>
      <c r="AQ80" s="100">
        <f t="shared" si="42"/>
        <v>0</v>
      </c>
      <c r="AR80" s="100">
        <f t="shared" si="43"/>
        <v>0</v>
      </c>
      <c r="AS80" s="100">
        <f t="shared" si="44"/>
        <v>-7206.8207454258099</v>
      </c>
    </row>
    <row r="81" spans="1:45" s="216" customFormat="1">
      <c r="A81" s="682" t="s">
        <v>884</v>
      </c>
      <c r="B81" s="683" t="s">
        <v>629</v>
      </c>
      <c r="C81" s="684">
        <v>86708.562054356982</v>
      </c>
      <c r="D81" s="685">
        <v>41897</v>
      </c>
      <c r="E81" s="686">
        <v>4</v>
      </c>
      <c r="F81" s="282" t="s">
        <v>885</v>
      </c>
      <c r="G81" s="687"/>
      <c r="H81" s="1060" t="s">
        <v>662</v>
      </c>
      <c r="I81" s="137">
        <f t="shared" si="20"/>
        <v>1000000000</v>
      </c>
      <c r="J81" s="223">
        <f t="shared" si="0"/>
        <v>0.96699999999999997</v>
      </c>
      <c r="K81" s="223">
        <f t="shared" si="1"/>
        <v>3.3000000000000002E-2</v>
      </c>
      <c r="L81" s="223">
        <f t="shared" si="2"/>
        <v>0</v>
      </c>
      <c r="M81" s="445">
        <f t="shared" si="3"/>
        <v>0</v>
      </c>
      <c r="N81" s="445">
        <f t="shared" si="3"/>
        <v>1</v>
      </c>
      <c r="O81" s="445">
        <f t="shared" si="3"/>
        <v>1.01</v>
      </c>
      <c r="P81" s="445">
        <f t="shared" si="3"/>
        <v>1.0180800000000001</v>
      </c>
      <c r="Q81" s="440">
        <f t="shared" si="21"/>
        <v>867.0856205435698</v>
      </c>
      <c r="R81" s="134">
        <f t="shared" si="22"/>
        <v>0</v>
      </c>
      <c r="S81" s="134">
        <f t="shared" si="23"/>
        <v>867.0856205435698</v>
      </c>
      <c r="T81" s="134">
        <f t="shared" si="24"/>
        <v>875.75647674900551</v>
      </c>
      <c r="U81" s="1069">
        <f t="shared" si="25"/>
        <v>882.76252856299766</v>
      </c>
      <c r="V81" s="134">
        <f t="shared" si="26"/>
        <v>882.76252856299766</v>
      </c>
      <c r="W81" s="100">
        <f t="shared" si="9"/>
        <v>0</v>
      </c>
      <c r="X81" s="100">
        <f t="shared" si="9"/>
        <v>2.8902854018118992E-5</v>
      </c>
      <c r="Y81" s="100">
        <f t="shared" si="9"/>
        <v>8.6708562054356979E-5</v>
      </c>
      <c r="Z81" s="151">
        <f t="shared" si="9"/>
        <v>8.6708562054356979E-5</v>
      </c>
      <c r="AA81" s="448">
        <f t="shared" si="27"/>
        <v>0</v>
      </c>
      <c r="AB81" s="448">
        <f t="shared" si="28"/>
        <v>2.8902854018118992E-5</v>
      </c>
      <c r="AC81" s="448">
        <f t="shared" si="29"/>
        <v>8.7575647674900556E-5</v>
      </c>
      <c r="AD81" s="448">
        <f t="shared" si="30"/>
        <v>8.8276252856299761E-5</v>
      </c>
      <c r="AE81" s="285"/>
      <c r="AF81" s="100">
        <f t="shared" si="31"/>
        <v>0</v>
      </c>
      <c r="AG81" s="100">
        <f t="shared" si="32"/>
        <v>86708.562025454128</v>
      </c>
      <c r="AH81" s="100">
        <f t="shared" si="33"/>
        <v>87575.647558133016</v>
      </c>
      <c r="AI81" s="151">
        <f t="shared" si="34"/>
        <v>88276.252650321825</v>
      </c>
      <c r="AJ81" s="100">
        <f t="shared" si="35"/>
        <v>0</v>
      </c>
      <c r="AK81" s="100">
        <f t="shared" si="36"/>
        <v>3121.5082618192023</v>
      </c>
      <c r="AL81" s="100">
        <f t="shared" si="37"/>
        <v>3152.7233996684363</v>
      </c>
      <c r="AM81" s="151">
        <f t="shared" si="38"/>
        <v>3177.9451836878384</v>
      </c>
      <c r="AN81" s="100">
        <f t="shared" si="39"/>
        <v>3177.9451836878384</v>
      </c>
      <c r="AO81" s="100">
        <f t="shared" si="40"/>
        <v>4060.7077122508363</v>
      </c>
      <c r="AP81" s="100">
        <f t="shared" si="41"/>
        <v>0</v>
      </c>
      <c r="AQ81" s="100">
        <f t="shared" si="42"/>
        <v>3926.7043577465583</v>
      </c>
      <c r="AR81" s="100">
        <f t="shared" si="43"/>
        <v>134.00335450427761</v>
      </c>
      <c r="AS81" s="100">
        <f t="shared" si="44"/>
        <v>0</v>
      </c>
    </row>
    <row r="82" spans="1:45" s="216" customFormat="1">
      <c r="A82" s="682" t="s">
        <v>884</v>
      </c>
      <c r="B82" s="683" t="s">
        <v>630</v>
      </c>
      <c r="C82" s="684">
        <v>19480917.12177946</v>
      </c>
      <c r="D82" s="685">
        <v>41897</v>
      </c>
      <c r="E82" s="686">
        <v>15</v>
      </c>
      <c r="F82" s="282" t="s">
        <v>885</v>
      </c>
      <c r="G82" s="687"/>
      <c r="H82" s="1060" t="s">
        <v>662</v>
      </c>
      <c r="I82" s="137">
        <f t="shared" si="20"/>
        <v>30</v>
      </c>
      <c r="J82" s="223">
        <f t="shared" si="0"/>
        <v>0.96699999999999997</v>
      </c>
      <c r="K82" s="223">
        <f t="shared" si="1"/>
        <v>3.3000000000000002E-2</v>
      </c>
      <c r="L82" s="223">
        <f t="shared" si="2"/>
        <v>0</v>
      </c>
      <c r="M82" s="445">
        <f t="shared" si="3"/>
        <v>0</v>
      </c>
      <c r="N82" s="445">
        <f t="shared" si="3"/>
        <v>1</v>
      </c>
      <c r="O82" s="445">
        <f t="shared" si="3"/>
        <v>1.01</v>
      </c>
      <c r="P82" s="445">
        <f t="shared" si="3"/>
        <v>1.0180800000000001</v>
      </c>
      <c r="Q82" s="440">
        <f t="shared" si="21"/>
        <v>194809.17121779462</v>
      </c>
      <c r="R82" s="134">
        <f t="shared" si="22"/>
        <v>0</v>
      </c>
      <c r="S82" s="134">
        <f t="shared" si="23"/>
        <v>194809.17121779462</v>
      </c>
      <c r="T82" s="134">
        <f t="shared" si="24"/>
        <v>196757.26292997255</v>
      </c>
      <c r="U82" s="1069">
        <f t="shared" si="25"/>
        <v>198331.32103341236</v>
      </c>
      <c r="V82" s="134">
        <f>IF(H82="nee",U82,IF(G82="ja",S82*(1+$C$16)+T82*(1+$D$16)+U82,R82*(1+$B$16)+S82*(1+$C$16)+T82*(1+$D$16)+U82))</f>
        <v>198331.32103341236</v>
      </c>
      <c r="W82" s="100">
        <f t="shared" si="9"/>
        <v>0</v>
      </c>
      <c r="X82" s="100">
        <f t="shared" si="9"/>
        <v>216454.63468643842</v>
      </c>
      <c r="Y82" s="100">
        <f t="shared" si="9"/>
        <v>649363.90405931533</v>
      </c>
      <c r="Z82" s="151">
        <f t="shared" si="9"/>
        <v>649363.90405931533</v>
      </c>
      <c r="AA82" s="448">
        <f t="shared" si="27"/>
        <v>0</v>
      </c>
      <c r="AB82" s="448">
        <f t="shared" si="28"/>
        <v>216454.63468643842</v>
      </c>
      <c r="AC82" s="448">
        <f t="shared" si="29"/>
        <v>655857.54309990851</v>
      </c>
      <c r="AD82" s="448">
        <f t="shared" si="30"/>
        <v>661104.40344470786</v>
      </c>
      <c r="AE82" s="285"/>
      <c r="AF82" s="100">
        <f t="shared" si="31"/>
        <v>0</v>
      </c>
      <c r="AG82" s="100">
        <f t="shared" si="32"/>
        <v>19264462.48709302</v>
      </c>
      <c r="AH82" s="100">
        <f t="shared" si="33"/>
        <v>18801249.56886404</v>
      </c>
      <c r="AI82" s="151">
        <f t="shared" si="34"/>
        <v>18290555.161970247</v>
      </c>
      <c r="AJ82" s="100">
        <f>AF82*$B$4+AA82</f>
        <v>0</v>
      </c>
      <c r="AK82" s="100">
        <f>AG82*$B$5+AB82</f>
        <v>909975.28422178701</v>
      </c>
      <c r="AL82" s="100">
        <f t="shared" si="37"/>
        <v>1332702.527579014</v>
      </c>
      <c r="AM82" s="151">
        <f t="shared" si="38"/>
        <v>1319564.3892756365</v>
      </c>
      <c r="AN82" s="100">
        <f>IF(H82="nee",AM82,IF(G82="ja",AK82*(1+$C$16)+AL82*(1+$D$16)+AM82, AJ82*(1+$B$16)+AK82*(1+$C$16)+AL82*(1+$D$16)+AM82))</f>
        <v>1319564.3892756365</v>
      </c>
      <c r="AO82" s="100">
        <f>AN82+V82</f>
        <v>1517895.7103090489</v>
      </c>
      <c r="AP82" s="100">
        <f>IF(YEAR(D82)&lt;2014,$AO82*J82,0)</f>
        <v>0</v>
      </c>
      <c r="AQ82" s="100">
        <f>IF(YEAR(D82)&gt;2013,$AO82*J82,0)</f>
        <v>1467805.1518688502</v>
      </c>
      <c r="AR82" s="100">
        <f>$AO82*K82</f>
        <v>50090.558440198613</v>
      </c>
      <c r="AS82" s="100">
        <f t="shared" si="44"/>
        <v>0</v>
      </c>
    </row>
    <row r="83" spans="1:45" s="216" customFormat="1">
      <c r="A83" s="682" t="s">
        <v>884</v>
      </c>
      <c r="B83" s="683" t="s">
        <v>632</v>
      </c>
      <c r="C83" s="684">
        <v>269466765.53668916</v>
      </c>
      <c r="D83" s="685">
        <v>41897</v>
      </c>
      <c r="E83" s="686">
        <v>21</v>
      </c>
      <c r="F83" s="282" t="s">
        <v>885</v>
      </c>
      <c r="G83" s="687"/>
      <c r="H83" s="1060" t="s">
        <v>662</v>
      </c>
      <c r="I83" s="137">
        <f t="shared" si="20"/>
        <v>55</v>
      </c>
      <c r="J83" s="223">
        <f t="shared" si="0"/>
        <v>0.96699999999999997</v>
      </c>
      <c r="K83" s="223">
        <f t="shared" si="1"/>
        <v>3.3000000000000002E-2</v>
      </c>
      <c r="L83" s="223">
        <f t="shared" si="2"/>
        <v>0</v>
      </c>
      <c r="M83" s="445">
        <f t="shared" si="3"/>
        <v>0</v>
      </c>
      <c r="N83" s="445">
        <f t="shared" si="3"/>
        <v>1</v>
      </c>
      <c r="O83" s="445">
        <f t="shared" si="3"/>
        <v>1.01</v>
      </c>
      <c r="P83" s="445">
        <f t="shared" si="3"/>
        <v>1.0180800000000001</v>
      </c>
      <c r="Q83" s="440">
        <f t="shared" ref="Q83:Q158" si="45">C83*$B$6</f>
        <v>2694667.6553668915</v>
      </c>
      <c r="R83" s="134">
        <f t="shared" ref="R83:R158" si="46">$Q83*M83</f>
        <v>0</v>
      </c>
      <c r="S83" s="134">
        <f t="shared" ref="S83:S158" si="47">$Q83*N83</f>
        <v>2694667.6553668915</v>
      </c>
      <c r="T83" s="134">
        <f t="shared" ref="T83:T158" si="48">$Q83*O83</f>
        <v>2721614.3319205604</v>
      </c>
      <c r="U83" s="1069">
        <f t="shared" ref="U83:U158" si="49">$Q83*P83</f>
        <v>2743387.246575925</v>
      </c>
      <c r="V83" s="134">
        <f t="shared" ref="V83:V108" si="50">IF(H83="nee",U83,IF(G83="ja",S83*(1+$C$16)+T83*(1+$D$16)+U83,R83*(1+$B$16)+S83*(1+$C$16)+T83*(1+$D$16)+U83))</f>
        <v>2743387.246575925</v>
      </c>
      <c r="W83" s="100">
        <f t="shared" si="9"/>
        <v>0</v>
      </c>
      <c r="X83" s="100">
        <f t="shared" si="9"/>
        <v>1633131.9123435705</v>
      </c>
      <c r="Y83" s="100">
        <f t="shared" si="9"/>
        <v>4899395.737030712</v>
      </c>
      <c r="Z83" s="151">
        <f t="shared" si="9"/>
        <v>4899395.737030712</v>
      </c>
      <c r="AA83" s="448">
        <f t="shared" ref="AA83:AA158" si="51">W83*M83</f>
        <v>0</v>
      </c>
      <c r="AB83" s="448">
        <f t="shared" ref="AB83:AB158" si="52">X83*N83</f>
        <v>1633131.9123435705</v>
      </c>
      <c r="AC83" s="448">
        <f t="shared" ref="AC83:AC158" si="53">Y83*O83</f>
        <v>4948389.6944010193</v>
      </c>
      <c r="AD83" s="448">
        <f t="shared" ref="AD83:AD158" si="54">Z83*P83</f>
        <v>4987976.8119562278</v>
      </c>
      <c r="AE83" s="285"/>
      <c r="AF83" s="100">
        <f t="shared" ref="AF83:AF158" si="55">IF(YEAR($D83)=AF$58,$C83-AA83,IF(YEAR($D83)&lt;AF$58,AE83*$B$10-AA83,0))</f>
        <v>0</v>
      </c>
      <c r="AG83" s="100">
        <f t="shared" ref="AG83:AG158" si="56">IF(YEAR($D83)=AG$58,$C83-AB83,IF(YEAR($D83)&lt;AG$58,AF83*$B$11-AB83,0))</f>
        <v>267833633.6243456</v>
      </c>
      <c r="AH83" s="100">
        <f t="shared" ref="AH83:AH158" si="57">IF(YEAR($D83)=AH$58,$C83-AC83,IF(YEAR($D83)&lt;AH$58,AG83*$B$12-AC83,0))</f>
        <v>265563580.26618803</v>
      </c>
      <c r="AI83" s="151">
        <f t="shared" ref="AI83:AI158" si="58">IF(YEAR($D83)=AI$58,$C83-AD83,IF(YEAR($D83)&lt;AI$58,AH83*$B$13-AD83,0))</f>
        <v>262700112.09636131</v>
      </c>
      <c r="AJ83" s="100">
        <f t="shared" ref="AJ83:AJ108" si="59">AF83*$B$4+AA83</f>
        <v>0</v>
      </c>
      <c r="AK83" s="100">
        <f t="shared" ref="AK83:AK108" si="60">AG83*$B$5+AB83</f>
        <v>11275142.722820012</v>
      </c>
      <c r="AL83" s="100">
        <f t="shared" ref="AL83:AL158" si="61">AH83*$B$5+AC83</f>
        <v>14508678.583983786</v>
      </c>
      <c r="AM83" s="151">
        <f t="shared" ref="AM83:AM158" si="62">AI83*$B$5+AD83</f>
        <v>14445180.847425234</v>
      </c>
      <c r="AN83" s="100">
        <f t="shared" ref="AN83:AN108" si="63">IF(H83="nee",AM83,IF(G83="ja",AK83*(1+$C$16)+AL83*(1+$D$16)+AM83, AJ83*(1+$B$16)+AK83*(1+$C$16)+AL83*(1+$D$16)+AM83))</f>
        <v>14445180.847425234</v>
      </c>
      <c r="AO83" s="100">
        <f t="shared" ref="AO83:AO108" si="64">AN83+V83</f>
        <v>17188568.094001159</v>
      </c>
      <c r="AP83" s="100">
        <f t="shared" ref="AP83:AP108" si="65">IF(YEAR(D83)&lt;2014,$AO83*J83,0)</f>
        <v>0</v>
      </c>
      <c r="AQ83" s="100">
        <f t="shared" ref="AQ83:AQ108" si="66">IF(YEAR(D83)&gt;2013,$AO83*J83,0)</f>
        <v>16621345.34689912</v>
      </c>
      <c r="AR83" s="100">
        <f t="shared" ref="AR83:AR108" si="67">$AO83*K83</f>
        <v>567222.74710203824</v>
      </c>
      <c r="AS83" s="100">
        <f t="shared" ref="AS83:AS158" si="68">$AO83*L83</f>
        <v>0</v>
      </c>
    </row>
    <row r="84" spans="1:45" s="216" customFormat="1">
      <c r="A84" s="682" t="s">
        <v>884</v>
      </c>
      <c r="B84" s="683" t="s">
        <v>642</v>
      </c>
      <c r="C84" s="684">
        <v>1164659.737735986</v>
      </c>
      <c r="D84" s="685">
        <v>41901</v>
      </c>
      <c r="E84" s="686">
        <v>42</v>
      </c>
      <c r="F84" s="282" t="s">
        <v>885</v>
      </c>
      <c r="G84" s="687"/>
      <c r="H84" s="1060" t="s">
        <v>662</v>
      </c>
      <c r="I84" s="137">
        <f t="shared" si="20"/>
        <v>1000000000</v>
      </c>
      <c r="J84" s="223">
        <f t="shared" si="0"/>
        <v>0.96699999999999997</v>
      </c>
      <c r="K84" s="223">
        <f t="shared" si="1"/>
        <v>3.3000000000000002E-2</v>
      </c>
      <c r="L84" s="223">
        <f t="shared" si="2"/>
        <v>0</v>
      </c>
      <c r="M84" s="445">
        <f t="shared" si="3"/>
        <v>0</v>
      </c>
      <c r="N84" s="445">
        <f t="shared" si="3"/>
        <v>1</v>
      </c>
      <c r="O84" s="445">
        <f t="shared" si="3"/>
        <v>1.01</v>
      </c>
      <c r="P84" s="445">
        <f t="shared" si="3"/>
        <v>1.0180800000000001</v>
      </c>
      <c r="Q84" s="440">
        <f t="shared" si="45"/>
        <v>11646.59737735986</v>
      </c>
      <c r="R84" s="134">
        <f t="shared" si="46"/>
        <v>0</v>
      </c>
      <c r="S84" s="134">
        <f t="shared" si="47"/>
        <v>11646.59737735986</v>
      </c>
      <c r="T84" s="134">
        <f t="shared" si="48"/>
        <v>11763.063351133458</v>
      </c>
      <c r="U84" s="1069">
        <f t="shared" si="49"/>
        <v>11857.167857942528</v>
      </c>
      <c r="V84" s="134">
        <f t="shared" si="50"/>
        <v>11857.167857942528</v>
      </c>
      <c r="W84" s="100">
        <f t="shared" si="9"/>
        <v>0</v>
      </c>
      <c r="X84" s="100">
        <f t="shared" si="9"/>
        <v>3.8821991257866198E-4</v>
      </c>
      <c r="Y84" s="100">
        <f t="shared" si="9"/>
        <v>1.164659737735986E-3</v>
      </c>
      <c r="Z84" s="151">
        <f t="shared" si="9"/>
        <v>1.164659737735986E-3</v>
      </c>
      <c r="AA84" s="448">
        <f t="shared" si="51"/>
        <v>0</v>
      </c>
      <c r="AB84" s="448">
        <f t="shared" si="52"/>
        <v>3.8821991257866198E-4</v>
      </c>
      <c r="AC84" s="448">
        <f t="shared" si="53"/>
        <v>1.1763063351133459E-3</v>
      </c>
      <c r="AD84" s="448">
        <f t="shared" si="54"/>
        <v>1.1857167857942527E-3</v>
      </c>
      <c r="AE84" s="285"/>
      <c r="AF84" s="100">
        <f t="shared" si="55"/>
        <v>0</v>
      </c>
      <c r="AG84" s="100">
        <f t="shared" si="56"/>
        <v>1164659.7373477661</v>
      </c>
      <c r="AH84" s="100">
        <f t="shared" si="57"/>
        <v>1176306.3335449374</v>
      </c>
      <c r="AI84" s="151">
        <f t="shared" si="58"/>
        <v>1185716.78302758</v>
      </c>
      <c r="AJ84" s="100">
        <f t="shared" si="59"/>
        <v>0</v>
      </c>
      <c r="AK84" s="100">
        <f t="shared" si="60"/>
        <v>41927.750932739495</v>
      </c>
      <c r="AL84" s="100">
        <f t="shared" si="61"/>
        <v>42347.029183924082</v>
      </c>
      <c r="AM84" s="151">
        <f t="shared" si="62"/>
        <v>42685.805374709664</v>
      </c>
      <c r="AN84" s="100">
        <f t="shared" si="63"/>
        <v>42685.805374709664</v>
      </c>
      <c r="AO84" s="100">
        <f t="shared" si="64"/>
        <v>54542.973232652192</v>
      </c>
      <c r="AP84" s="100">
        <f t="shared" si="65"/>
        <v>0</v>
      </c>
      <c r="AQ84" s="100">
        <f t="shared" si="66"/>
        <v>52743.055115974668</v>
      </c>
      <c r="AR84" s="100">
        <f t="shared" si="67"/>
        <v>1799.9181166775224</v>
      </c>
      <c r="AS84" s="100">
        <f t="shared" si="68"/>
        <v>0</v>
      </c>
    </row>
    <row r="85" spans="1:45" s="216" customFormat="1">
      <c r="A85" s="682" t="s">
        <v>884</v>
      </c>
      <c r="B85" s="683" t="s">
        <v>1144</v>
      </c>
      <c r="C85" s="684">
        <v>1383.8608359599959</v>
      </c>
      <c r="D85" s="685">
        <v>42004</v>
      </c>
      <c r="E85" s="691">
        <v>4</v>
      </c>
      <c r="F85" s="282" t="s">
        <v>885</v>
      </c>
      <c r="G85" s="687"/>
      <c r="H85" s="1310" t="s">
        <v>638</v>
      </c>
      <c r="I85" s="137">
        <f t="shared" si="20"/>
        <v>1000000000</v>
      </c>
      <c r="J85" s="223">
        <f t="shared" si="0"/>
        <v>0.96699999999999997</v>
      </c>
      <c r="K85" s="223">
        <f t="shared" si="1"/>
        <v>3.3000000000000002E-2</v>
      </c>
      <c r="L85" s="223">
        <f t="shared" si="2"/>
        <v>0</v>
      </c>
      <c r="M85" s="445">
        <f t="shared" si="3"/>
        <v>0</v>
      </c>
      <c r="N85" s="445">
        <f t="shared" si="3"/>
        <v>1</v>
      </c>
      <c r="O85" s="445">
        <f t="shared" si="3"/>
        <v>1.01</v>
      </c>
      <c r="P85" s="445">
        <f t="shared" si="3"/>
        <v>1.0180800000000001</v>
      </c>
      <c r="Q85" s="440">
        <f t="shared" si="45"/>
        <v>13.838608359599959</v>
      </c>
      <c r="R85" s="134">
        <f t="shared" si="46"/>
        <v>0</v>
      </c>
      <c r="S85" s="134">
        <f t="shared" si="47"/>
        <v>13.838608359599959</v>
      </c>
      <c r="T85" s="134">
        <f t="shared" si="48"/>
        <v>13.976994443195959</v>
      </c>
      <c r="U85" s="1069">
        <f t="shared" si="49"/>
        <v>14.088810398741527</v>
      </c>
      <c r="V85" s="134">
        <f t="shared" si="50"/>
        <v>43.592723421408628</v>
      </c>
      <c r="W85" s="100">
        <f t="shared" si="9"/>
        <v>0</v>
      </c>
      <c r="X85" s="100">
        <f t="shared" si="9"/>
        <v>1.1532173632999966E-7</v>
      </c>
      <c r="Y85" s="100">
        <f t="shared" si="9"/>
        <v>1.3838608359599959E-6</v>
      </c>
      <c r="Z85" s="151">
        <f t="shared" si="9"/>
        <v>1.3838608359599959E-6</v>
      </c>
      <c r="AA85" s="448">
        <f t="shared" si="51"/>
        <v>0</v>
      </c>
      <c r="AB85" s="448">
        <f t="shared" si="52"/>
        <v>1.1532173632999966E-7</v>
      </c>
      <c r="AC85" s="448">
        <f t="shared" si="53"/>
        <v>1.397699444319596E-6</v>
      </c>
      <c r="AD85" s="448">
        <f t="shared" si="54"/>
        <v>1.4088810398741527E-6</v>
      </c>
      <c r="AE85" s="285"/>
      <c r="AF85" s="100">
        <f t="shared" si="55"/>
        <v>0</v>
      </c>
      <c r="AG85" s="100">
        <f t="shared" si="56"/>
        <v>1383.8608358446743</v>
      </c>
      <c r="AH85" s="100">
        <f t="shared" si="57"/>
        <v>1397.6994428054215</v>
      </c>
      <c r="AI85" s="151">
        <f t="shared" si="58"/>
        <v>1408.8810369389839</v>
      </c>
      <c r="AJ85" s="100">
        <f t="shared" si="59"/>
        <v>0</v>
      </c>
      <c r="AK85" s="100">
        <f t="shared" si="60"/>
        <v>49.81899020573001</v>
      </c>
      <c r="AL85" s="100">
        <f t="shared" si="61"/>
        <v>50.317181338694617</v>
      </c>
      <c r="AM85" s="151">
        <f t="shared" si="62"/>
        <v>50.719718738684456</v>
      </c>
      <c r="AN85" s="100">
        <f t="shared" si="63"/>
        <v>156.93380713744438</v>
      </c>
      <c r="AO85" s="100">
        <f t="shared" si="64"/>
        <v>200.52653055885301</v>
      </c>
      <c r="AP85" s="100">
        <f t="shared" si="65"/>
        <v>0</v>
      </c>
      <c r="AQ85" s="100">
        <f t="shared" si="66"/>
        <v>193.90915505041085</v>
      </c>
      <c r="AR85" s="100">
        <f t="shared" si="67"/>
        <v>6.6173755084421497</v>
      </c>
      <c r="AS85" s="100">
        <f t="shared" si="68"/>
        <v>0</v>
      </c>
    </row>
    <row r="86" spans="1:45" s="216" customFormat="1">
      <c r="A86" s="682" t="s">
        <v>884</v>
      </c>
      <c r="B86" s="683" t="s">
        <v>1130</v>
      </c>
      <c r="C86" s="684">
        <v>311075.15386332013</v>
      </c>
      <c r="D86" s="685">
        <v>42004</v>
      </c>
      <c r="E86" s="691">
        <v>15</v>
      </c>
      <c r="F86" s="282" t="s">
        <v>885</v>
      </c>
      <c r="G86" s="687"/>
      <c r="H86" s="1310" t="s">
        <v>638</v>
      </c>
      <c r="I86" s="137">
        <f t="shared" si="20"/>
        <v>30</v>
      </c>
      <c r="J86" s="223">
        <f t="shared" si="0"/>
        <v>0.96699999999999997</v>
      </c>
      <c r="K86" s="223">
        <f t="shared" si="1"/>
        <v>3.3000000000000002E-2</v>
      </c>
      <c r="L86" s="223">
        <f t="shared" si="2"/>
        <v>0</v>
      </c>
      <c r="M86" s="445">
        <f t="shared" si="3"/>
        <v>0</v>
      </c>
      <c r="N86" s="445">
        <f t="shared" si="3"/>
        <v>1</v>
      </c>
      <c r="O86" s="445">
        <f t="shared" si="3"/>
        <v>1.01</v>
      </c>
      <c r="P86" s="445">
        <f t="shared" si="3"/>
        <v>1.0180800000000001</v>
      </c>
      <c r="Q86" s="440">
        <f t="shared" si="45"/>
        <v>3110.7515386332016</v>
      </c>
      <c r="R86" s="134">
        <f t="shared" si="46"/>
        <v>0</v>
      </c>
      <c r="S86" s="134">
        <f t="shared" si="47"/>
        <v>3110.7515386332016</v>
      </c>
      <c r="T86" s="134">
        <f t="shared" si="48"/>
        <v>3141.8590540195337</v>
      </c>
      <c r="U86" s="1069">
        <f t="shared" si="49"/>
        <v>3166.9939264516902</v>
      </c>
      <c r="V86" s="134">
        <f t="shared" si="50"/>
        <v>9799.1162068176727</v>
      </c>
      <c r="W86" s="100">
        <f t="shared" si="9"/>
        <v>0</v>
      </c>
      <c r="X86" s="100">
        <f t="shared" si="9"/>
        <v>864.09764962033364</v>
      </c>
      <c r="Y86" s="100">
        <f t="shared" si="9"/>
        <v>10369.171795444005</v>
      </c>
      <c r="Z86" s="151">
        <f t="shared" si="9"/>
        <v>10369.171795444005</v>
      </c>
      <c r="AA86" s="448">
        <f t="shared" si="51"/>
        <v>0</v>
      </c>
      <c r="AB86" s="448">
        <f t="shared" si="52"/>
        <v>864.09764962033364</v>
      </c>
      <c r="AC86" s="448">
        <f t="shared" si="53"/>
        <v>10472.863513398444</v>
      </c>
      <c r="AD86" s="448">
        <f t="shared" si="54"/>
        <v>10556.646421505633</v>
      </c>
      <c r="AE86" s="285"/>
      <c r="AF86" s="100">
        <f t="shared" si="55"/>
        <v>0</v>
      </c>
      <c r="AG86" s="100">
        <f t="shared" si="56"/>
        <v>310211.05621369981</v>
      </c>
      <c r="AH86" s="100">
        <f t="shared" si="57"/>
        <v>302840.30326243833</v>
      </c>
      <c r="AI86" s="151">
        <f t="shared" si="58"/>
        <v>294706.37926703226</v>
      </c>
      <c r="AJ86" s="100">
        <f t="shared" si="59"/>
        <v>0</v>
      </c>
      <c r="AK86" s="100">
        <f t="shared" si="60"/>
        <v>12031.695673313525</v>
      </c>
      <c r="AL86" s="100">
        <f t="shared" si="61"/>
        <v>21375.114430846224</v>
      </c>
      <c r="AM86" s="151">
        <f t="shared" si="62"/>
        <v>21166.076075118792</v>
      </c>
      <c r="AN86" s="100">
        <f t="shared" si="63"/>
        <v>56409.677123454756</v>
      </c>
      <c r="AO86" s="100">
        <f t="shared" si="64"/>
        <v>66208.793330272427</v>
      </c>
      <c r="AP86" s="100">
        <f t="shared" si="65"/>
        <v>0</v>
      </c>
      <c r="AQ86" s="100">
        <f t="shared" si="66"/>
        <v>64023.903150373437</v>
      </c>
      <c r="AR86" s="100">
        <f t="shared" si="67"/>
        <v>2184.89017989899</v>
      </c>
      <c r="AS86" s="100">
        <f t="shared" si="68"/>
        <v>0</v>
      </c>
    </row>
    <row r="87" spans="1:45" s="216" customFormat="1">
      <c r="A87" s="682" t="s">
        <v>884</v>
      </c>
      <c r="B87" s="683" t="s">
        <v>1145</v>
      </c>
      <c r="C87" s="684">
        <v>4302896.6177185616</v>
      </c>
      <c r="D87" s="685">
        <v>42004</v>
      </c>
      <c r="E87" s="691">
        <v>21</v>
      </c>
      <c r="F87" s="282" t="s">
        <v>885</v>
      </c>
      <c r="G87" s="687"/>
      <c r="H87" s="1310" t="s">
        <v>638</v>
      </c>
      <c r="I87" s="137">
        <f t="shared" si="20"/>
        <v>55</v>
      </c>
      <c r="J87" s="223">
        <f t="shared" si="0"/>
        <v>0.96699999999999997</v>
      </c>
      <c r="K87" s="223">
        <f t="shared" si="1"/>
        <v>3.3000000000000002E-2</v>
      </c>
      <c r="L87" s="223">
        <f t="shared" si="2"/>
        <v>0</v>
      </c>
      <c r="M87" s="445">
        <f t="shared" si="3"/>
        <v>0</v>
      </c>
      <c r="N87" s="445">
        <f t="shared" si="3"/>
        <v>1</v>
      </c>
      <c r="O87" s="445">
        <f t="shared" si="3"/>
        <v>1.01</v>
      </c>
      <c r="P87" s="445">
        <f t="shared" si="3"/>
        <v>1.0180800000000001</v>
      </c>
      <c r="Q87" s="440">
        <f t="shared" si="45"/>
        <v>43028.966177185619</v>
      </c>
      <c r="R87" s="134">
        <f t="shared" si="46"/>
        <v>0</v>
      </c>
      <c r="S87" s="134">
        <f t="shared" si="47"/>
        <v>43028.966177185619</v>
      </c>
      <c r="T87" s="134">
        <f t="shared" si="48"/>
        <v>43459.255838957477</v>
      </c>
      <c r="U87" s="1069">
        <f t="shared" si="49"/>
        <v>43806.929885669138</v>
      </c>
      <c r="V87" s="134">
        <f t="shared" si="50"/>
        <v>135544.68577542884</v>
      </c>
      <c r="W87" s="100">
        <f t="shared" si="9"/>
        <v>0</v>
      </c>
      <c r="X87" s="100">
        <f t="shared" si="9"/>
        <v>6519.5403298766078</v>
      </c>
      <c r="Y87" s="100">
        <f t="shared" si="9"/>
        <v>78234.483958519297</v>
      </c>
      <c r="Z87" s="151">
        <f t="shared" si="9"/>
        <v>78234.483958519297</v>
      </c>
      <c r="AA87" s="448">
        <f t="shared" si="51"/>
        <v>0</v>
      </c>
      <c r="AB87" s="448">
        <f t="shared" si="52"/>
        <v>6519.5403298766078</v>
      </c>
      <c r="AC87" s="448">
        <f t="shared" si="53"/>
        <v>79016.828798104485</v>
      </c>
      <c r="AD87" s="448">
        <f t="shared" si="54"/>
        <v>79648.96342848934</v>
      </c>
      <c r="AE87" s="285"/>
      <c r="AF87" s="100">
        <f t="shared" si="55"/>
        <v>0</v>
      </c>
      <c r="AG87" s="100">
        <f t="shared" si="56"/>
        <v>4296377.0773886852</v>
      </c>
      <c r="AH87" s="100">
        <f t="shared" si="57"/>
        <v>4260324.0193644678</v>
      </c>
      <c r="AI87" s="151">
        <f t="shared" si="58"/>
        <v>4214757.6480908943</v>
      </c>
      <c r="AJ87" s="100">
        <f t="shared" si="59"/>
        <v>0</v>
      </c>
      <c r="AK87" s="100">
        <f t="shared" si="60"/>
        <v>161189.11511586927</v>
      </c>
      <c r="AL87" s="100">
        <f t="shared" si="61"/>
        <v>232388.49349522532</v>
      </c>
      <c r="AM87" s="151">
        <f t="shared" si="62"/>
        <v>231380.23875976153</v>
      </c>
      <c r="AN87" s="100">
        <f t="shared" si="63"/>
        <v>647406.41890411987</v>
      </c>
      <c r="AO87" s="100">
        <f t="shared" si="64"/>
        <v>782951.10467954865</v>
      </c>
      <c r="AP87" s="100">
        <f t="shared" si="65"/>
        <v>0</v>
      </c>
      <c r="AQ87" s="100">
        <f t="shared" si="66"/>
        <v>757113.71822512348</v>
      </c>
      <c r="AR87" s="100">
        <f t="shared" si="67"/>
        <v>25837.386454425108</v>
      </c>
      <c r="AS87" s="100">
        <f t="shared" si="68"/>
        <v>0</v>
      </c>
    </row>
    <row r="88" spans="1:45" s="216" customFormat="1">
      <c r="A88" s="682" t="s">
        <v>884</v>
      </c>
      <c r="B88" s="683" t="s">
        <v>1146</v>
      </c>
      <c r="C88" s="684">
        <v>1563.91814</v>
      </c>
      <c r="D88" s="685">
        <v>42186</v>
      </c>
      <c r="E88" s="691">
        <v>4</v>
      </c>
      <c r="F88" s="282" t="s">
        <v>885</v>
      </c>
      <c r="G88" s="687"/>
      <c r="H88" s="1310" t="s">
        <v>638</v>
      </c>
      <c r="I88" s="137">
        <f t="shared" si="20"/>
        <v>1000000000</v>
      </c>
      <c r="J88" s="223">
        <f t="shared" si="0"/>
        <v>0.96699999999999997</v>
      </c>
      <c r="K88" s="223">
        <f t="shared" si="1"/>
        <v>3.3000000000000002E-2</v>
      </c>
      <c r="L88" s="223">
        <f t="shared" si="2"/>
        <v>0</v>
      </c>
      <c r="M88" s="445">
        <f t="shared" si="3"/>
        <v>0</v>
      </c>
      <c r="N88" s="445">
        <f t="shared" si="3"/>
        <v>0</v>
      </c>
      <c r="O88" s="445">
        <f t="shared" si="3"/>
        <v>1</v>
      </c>
      <c r="P88" s="445">
        <f t="shared" si="3"/>
        <v>1.008</v>
      </c>
      <c r="Q88" s="440">
        <f t="shared" si="45"/>
        <v>15.6391814</v>
      </c>
      <c r="R88" s="134">
        <f t="shared" si="46"/>
        <v>0</v>
      </c>
      <c r="S88" s="134">
        <f t="shared" si="47"/>
        <v>0</v>
      </c>
      <c r="T88" s="134">
        <f t="shared" si="48"/>
        <v>15.6391814</v>
      </c>
      <c r="U88" s="1069">
        <f t="shared" si="49"/>
        <v>15.764294851200001</v>
      </c>
      <c r="V88" s="134">
        <f t="shared" si="50"/>
        <v>32.029043507199994</v>
      </c>
      <c r="W88" s="100">
        <f t="shared" si="9"/>
        <v>0</v>
      </c>
      <c r="X88" s="100">
        <f t="shared" si="9"/>
        <v>0</v>
      </c>
      <c r="Y88" s="100">
        <f t="shared" si="9"/>
        <v>7.8195906999999996E-7</v>
      </c>
      <c r="Z88" s="151">
        <f t="shared" si="9"/>
        <v>1.5639181399999999E-6</v>
      </c>
      <c r="AA88" s="448">
        <f t="shared" si="51"/>
        <v>0</v>
      </c>
      <c r="AB88" s="448">
        <f t="shared" si="52"/>
        <v>0</v>
      </c>
      <c r="AC88" s="448">
        <f t="shared" si="53"/>
        <v>7.8195906999999996E-7</v>
      </c>
      <c r="AD88" s="448">
        <f t="shared" si="54"/>
        <v>1.57642948512E-6</v>
      </c>
      <c r="AE88" s="285"/>
      <c r="AF88" s="100">
        <f t="shared" si="55"/>
        <v>0</v>
      </c>
      <c r="AG88" s="100">
        <f t="shared" si="56"/>
        <v>0</v>
      </c>
      <c r="AH88" s="100">
        <f t="shared" si="57"/>
        <v>1563.918139218041</v>
      </c>
      <c r="AI88" s="151">
        <f t="shared" si="58"/>
        <v>1576.4294827553558</v>
      </c>
      <c r="AJ88" s="100">
        <f t="shared" si="59"/>
        <v>0</v>
      </c>
      <c r="AK88" s="100">
        <f t="shared" si="60"/>
        <v>0</v>
      </c>
      <c r="AL88" s="100">
        <f t="shared" si="61"/>
        <v>56.301053793808542</v>
      </c>
      <c r="AM88" s="151">
        <f t="shared" si="62"/>
        <v>56.751462955622287</v>
      </c>
      <c r="AN88" s="100">
        <f t="shared" si="63"/>
        <v>115.30455890118316</v>
      </c>
      <c r="AO88" s="100">
        <f t="shared" si="64"/>
        <v>147.33360240838314</v>
      </c>
      <c r="AP88" s="100">
        <f t="shared" si="65"/>
        <v>0</v>
      </c>
      <c r="AQ88" s="100">
        <f t="shared" si="66"/>
        <v>142.47159352890648</v>
      </c>
      <c r="AR88" s="100">
        <f t="shared" si="67"/>
        <v>4.8620088794766438</v>
      </c>
      <c r="AS88" s="100">
        <f t="shared" si="68"/>
        <v>0</v>
      </c>
    </row>
    <row r="89" spans="1:45" s="216" customFormat="1">
      <c r="A89" s="682" t="s">
        <v>884</v>
      </c>
      <c r="B89" s="683" t="s">
        <v>1133</v>
      </c>
      <c r="C89" s="684">
        <v>351529.54817999998</v>
      </c>
      <c r="D89" s="685">
        <v>42186</v>
      </c>
      <c r="E89" s="691">
        <v>15</v>
      </c>
      <c r="F89" s="282" t="s">
        <v>885</v>
      </c>
      <c r="G89" s="687"/>
      <c r="H89" s="1310" t="s">
        <v>638</v>
      </c>
      <c r="I89" s="137">
        <f t="shared" si="20"/>
        <v>30</v>
      </c>
      <c r="J89" s="223">
        <f t="shared" si="0"/>
        <v>0.96699999999999997</v>
      </c>
      <c r="K89" s="223">
        <f t="shared" si="1"/>
        <v>3.3000000000000002E-2</v>
      </c>
      <c r="L89" s="223">
        <f t="shared" si="2"/>
        <v>0</v>
      </c>
      <c r="M89" s="445">
        <f t="shared" si="3"/>
        <v>0</v>
      </c>
      <c r="N89" s="445">
        <f t="shared" si="3"/>
        <v>0</v>
      </c>
      <c r="O89" s="445">
        <f t="shared" si="3"/>
        <v>1</v>
      </c>
      <c r="P89" s="445">
        <f t="shared" si="3"/>
        <v>1.008</v>
      </c>
      <c r="Q89" s="440">
        <f t="shared" si="45"/>
        <v>3515.2954817999998</v>
      </c>
      <c r="R89" s="134">
        <f t="shared" si="46"/>
        <v>0</v>
      </c>
      <c r="S89" s="134">
        <f t="shared" si="47"/>
        <v>0</v>
      </c>
      <c r="T89" s="134">
        <f t="shared" si="48"/>
        <v>3515.2954817999998</v>
      </c>
      <c r="U89" s="1069">
        <f t="shared" si="49"/>
        <v>3543.4178456544</v>
      </c>
      <c r="V89" s="134">
        <f t="shared" si="50"/>
        <v>7199.3251467263981</v>
      </c>
      <c r="W89" s="100">
        <f t="shared" si="9"/>
        <v>0</v>
      </c>
      <c r="X89" s="100">
        <f t="shared" si="9"/>
        <v>0</v>
      </c>
      <c r="Y89" s="100">
        <f t="shared" si="9"/>
        <v>5858.8258029999997</v>
      </c>
      <c r="Z89" s="151">
        <f t="shared" si="9"/>
        <v>11717.651605999999</v>
      </c>
      <c r="AA89" s="448">
        <f t="shared" si="51"/>
        <v>0</v>
      </c>
      <c r="AB89" s="448">
        <f t="shared" si="52"/>
        <v>0</v>
      </c>
      <c r="AC89" s="448">
        <f t="shared" si="53"/>
        <v>5858.8258029999997</v>
      </c>
      <c r="AD89" s="448">
        <f t="shared" si="54"/>
        <v>11811.392818848</v>
      </c>
      <c r="AE89" s="285"/>
      <c r="AF89" s="100">
        <f t="shared" si="55"/>
        <v>0</v>
      </c>
      <c r="AG89" s="100">
        <f t="shared" si="56"/>
        <v>0</v>
      </c>
      <c r="AH89" s="100">
        <f t="shared" si="57"/>
        <v>345670.72237699997</v>
      </c>
      <c r="AI89" s="151">
        <f t="shared" si="58"/>
        <v>336624.69533716794</v>
      </c>
      <c r="AJ89" s="100">
        <f t="shared" si="59"/>
        <v>0</v>
      </c>
      <c r="AK89" s="100">
        <f t="shared" si="60"/>
        <v>0</v>
      </c>
      <c r="AL89" s="100">
        <f t="shared" si="61"/>
        <v>18302.971808571998</v>
      </c>
      <c r="AM89" s="151">
        <f t="shared" si="62"/>
        <v>23929.881850986043</v>
      </c>
      <c r="AN89" s="100">
        <f t="shared" si="63"/>
        <v>42964.972531900916</v>
      </c>
      <c r="AO89" s="100">
        <f t="shared" si="64"/>
        <v>50164.297678627314</v>
      </c>
      <c r="AP89" s="100">
        <f t="shared" si="65"/>
        <v>0</v>
      </c>
      <c r="AQ89" s="100">
        <f t="shared" si="66"/>
        <v>48508.875855232611</v>
      </c>
      <c r="AR89" s="100">
        <f t="shared" si="67"/>
        <v>1655.4218233947015</v>
      </c>
      <c r="AS89" s="100">
        <f t="shared" si="68"/>
        <v>0</v>
      </c>
    </row>
    <row r="90" spans="1:45" s="216" customFormat="1">
      <c r="A90" s="682" t="s">
        <v>884</v>
      </c>
      <c r="B90" s="683" t="s">
        <v>1147</v>
      </c>
      <c r="C90" s="684">
        <v>4862485.5222500004</v>
      </c>
      <c r="D90" s="685">
        <v>42186</v>
      </c>
      <c r="E90" s="691">
        <v>21</v>
      </c>
      <c r="F90" s="282" t="s">
        <v>885</v>
      </c>
      <c r="G90" s="687"/>
      <c r="H90" s="1310" t="s">
        <v>638</v>
      </c>
      <c r="I90" s="137">
        <f t="shared" si="20"/>
        <v>55</v>
      </c>
      <c r="J90" s="223">
        <f t="shared" si="0"/>
        <v>0.96699999999999997</v>
      </c>
      <c r="K90" s="223">
        <f t="shared" si="1"/>
        <v>3.3000000000000002E-2</v>
      </c>
      <c r="L90" s="223">
        <f t="shared" si="2"/>
        <v>0</v>
      </c>
      <c r="M90" s="445">
        <f t="shared" si="3"/>
        <v>0</v>
      </c>
      <c r="N90" s="445">
        <f t="shared" si="3"/>
        <v>0</v>
      </c>
      <c r="O90" s="445">
        <f t="shared" si="3"/>
        <v>1</v>
      </c>
      <c r="P90" s="445">
        <f t="shared" si="3"/>
        <v>1.008</v>
      </c>
      <c r="Q90" s="440">
        <f t="shared" si="45"/>
        <v>48624.855222500002</v>
      </c>
      <c r="R90" s="134">
        <f t="shared" si="46"/>
        <v>0</v>
      </c>
      <c r="S90" s="134">
        <f t="shared" si="47"/>
        <v>0</v>
      </c>
      <c r="T90" s="134">
        <f t="shared" si="48"/>
        <v>48624.855222500002</v>
      </c>
      <c r="U90" s="1069">
        <f t="shared" si="49"/>
        <v>49013.85406428</v>
      </c>
      <c r="V90" s="134">
        <f t="shared" si="50"/>
        <v>99583.703495679976</v>
      </c>
      <c r="W90" s="100">
        <f t="shared" si="9"/>
        <v>0</v>
      </c>
      <c r="X90" s="100">
        <f t="shared" si="9"/>
        <v>0</v>
      </c>
      <c r="Y90" s="100">
        <f t="shared" si="9"/>
        <v>44204.41383863637</v>
      </c>
      <c r="Z90" s="151">
        <f t="shared" si="9"/>
        <v>88408.82767727274</v>
      </c>
      <c r="AA90" s="448">
        <f t="shared" si="51"/>
        <v>0</v>
      </c>
      <c r="AB90" s="448">
        <f t="shared" si="52"/>
        <v>0</v>
      </c>
      <c r="AC90" s="448">
        <f t="shared" si="53"/>
        <v>44204.41383863637</v>
      </c>
      <c r="AD90" s="448">
        <f t="shared" si="54"/>
        <v>89116.098298690922</v>
      </c>
      <c r="AE90" s="285"/>
      <c r="AF90" s="100">
        <f t="shared" si="55"/>
        <v>0</v>
      </c>
      <c r="AG90" s="100">
        <f t="shared" si="56"/>
        <v>0</v>
      </c>
      <c r="AH90" s="100">
        <f t="shared" si="57"/>
        <v>4818281.1084113643</v>
      </c>
      <c r="AI90" s="151">
        <f t="shared" si="58"/>
        <v>4767711.2589799641</v>
      </c>
      <c r="AJ90" s="100">
        <f t="shared" si="59"/>
        <v>0</v>
      </c>
      <c r="AK90" s="100">
        <f t="shared" si="60"/>
        <v>0</v>
      </c>
      <c r="AL90" s="100">
        <f t="shared" si="61"/>
        <v>217662.53374144546</v>
      </c>
      <c r="AM90" s="151">
        <f t="shared" si="62"/>
        <v>260753.70362196962</v>
      </c>
      <c r="AN90" s="100">
        <f t="shared" si="63"/>
        <v>487122.73871307279</v>
      </c>
      <c r="AO90" s="100">
        <f t="shared" si="64"/>
        <v>586706.44220875273</v>
      </c>
      <c r="AP90" s="100">
        <f t="shared" si="65"/>
        <v>0</v>
      </c>
      <c r="AQ90" s="100">
        <f t="shared" si="66"/>
        <v>567345.1296158639</v>
      </c>
      <c r="AR90" s="100">
        <f t="shared" si="67"/>
        <v>19361.31259288884</v>
      </c>
      <c r="AS90" s="100">
        <f t="shared" si="68"/>
        <v>0</v>
      </c>
    </row>
    <row r="91" spans="1:45" s="1279" customFormat="1">
      <c r="A91" s="682" t="s">
        <v>1148</v>
      </c>
      <c r="B91" s="683" t="s">
        <v>1149</v>
      </c>
      <c r="C91" s="684">
        <v>27900192.094038688</v>
      </c>
      <c r="D91" s="685">
        <v>41907</v>
      </c>
      <c r="E91" s="691">
        <v>21</v>
      </c>
      <c r="F91" s="282" t="s">
        <v>876</v>
      </c>
      <c r="G91" s="687"/>
      <c r="H91" s="1310" t="s">
        <v>638</v>
      </c>
      <c r="I91" s="1277">
        <f t="shared" si="20"/>
        <v>55</v>
      </c>
      <c r="J91" s="1280">
        <f t="shared" si="0"/>
        <v>0.96699999999999997</v>
      </c>
      <c r="K91" s="1280">
        <f t="shared" si="1"/>
        <v>3.3000000000000002E-2</v>
      </c>
      <c r="L91" s="1280">
        <f t="shared" si="2"/>
        <v>0</v>
      </c>
      <c r="M91" s="1283">
        <f t="shared" si="3"/>
        <v>0</v>
      </c>
      <c r="N91" s="1283">
        <f t="shared" si="3"/>
        <v>1</v>
      </c>
      <c r="O91" s="1283">
        <f t="shared" si="3"/>
        <v>1.01</v>
      </c>
      <c r="P91" s="1283">
        <f t="shared" si="3"/>
        <v>1.0180800000000001</v>
      </c>
      <c r="Q91" s="1282">
        <f t="shared" ref="Q91:Q102" si="69">C91*$B$6</f>
        <v>279001.92094038689</v>
      </c>
      <c r="R91" s="1276">
        <f t="shared" ref="R91:R102" si="70">$Q91*M91</f>
        <v>0</v>
      </c>
      <c r="S91" s="1276">
        <f t="shared" ref="S91:S102" si="71">$Q91*N91</f>
        <v>279001.92094038689</v>
      </c>
      <c r="T91" s="1276">
        <f t="shared" ref="T91:T102" si="72">$Q91*O91</f>
        <v>281791.94014979078</v>
      </c>
      <c r="U91" s="1069">
        <f t="shared" ref="U91:U102" si="73">$Q91*P91</f>
        <v>284046.27567098913</v>
      </c>
      <c r="V91" s="1276">
        <f t="shared" ref="V91:V102" si="74">IF(H91="nee",U91,IF(G91="ja",S91*(1+$C$16)+T91*(1+$D$16)+U91,R91*(1+$B$16)+S91*(1+$C$16)+T91*(1+$D$16)+U91))</f>
        <v>878878.37111589382</v>
      </c>
      <c r="W91" s="1275">
        <f t="shared" si="9"/>
        <v>0</v>
      </c>
      <c r="X91" s="1275">
        <f t="shared" si="9"/>
        <v>169092.07329720416</v>
      </c>
      <c r="Y91" s="1275">
        <f t="shared" si="9"/>
        <v>507276.21989161248</v>
      </c>
      <c r="Z91" s="1278">
        <f t="shared" si="9"/>
        <v>507276.21989161248</v>
      </c>
      <c r="AA91" s="1284">
        <f t="shared" ref="AA91:AA102" si="75">W91*M91</f>
        <v>0</v>
      </c>
      <c r="AB91" s="1284">
        <f t="shared" ref="AB91:AB102" si="76">X91*N91</f>
        <v>169092.07329720416</v>
      </c>
      <c r="AC91" s="1284">
        <f t="shared" ref="AC91:AC102" si="77">Y91*O91</f>
        <v>512348.98209052859</v>
      </c>
      <c r="AD91" s="1284">
        <f t="shared" ref="AD91:AD102" si="78">Z91*P91</f>
        <v>516447.77394725289</v>
      </c>
      <c r="AE91" s="1281"/>
      <c r="AF91" s="1275">
        <f t="shared" ref="AF91:AF102" si="79">IF(YEAR($D91)=AF$58,$C91-AA91,IF(YEAR($D91)&lt;AF$58,AE91*$B$10-AA91,0))</f>
        <v>0</v>
      </c>
      <c r="AG91" s="1275">
        <f t="shared" ref="AG91:AG102" si="80">IF(YEAR($D91)=AG$58,$C91-AB91,IF(YEAR($D91)&lt;AG$58,AF91*$B$11-AB91,0))</f>
        <v>27731100.020741485</v>
      </c>
      <c r="AH91" s="1275">
        <f t="shared" ref="AH91:AH102" si="81">IF(YEAR($D91)=AH$58,$C91-AC91,IF(YEAR($D91)&lt;AH$58,AG91*$B$12-AC91,0))</f>
        <v>27496062.038858373</v>
      </c>
      <c r="AI91" s="1278">
        <f t="shared" ref="AI91:AI102" si="82">IF(YEAR($D91)=AI$58,$C91-AD91,IF(YEAR($D91)&lt;AI$58,AH91*$B$13-AD91,0))</f>
        <v>27199582.761221986</v>
      </c>
      <c r="AJ91" s="1275">
        <f t="shared" ref="AJ91:AJ102" si="83">AF91*$B$4+AA91</f>
        <v>0</v>
      </c>
      <c r="AK91" s="1275">
        <f t="shared" ref="AK91:AK102" si="84">AG91*$B$5+AB91</f>
        <v>1167411.6740438975</v>
      </c>
      <c r="AL91" s="1275">
        <f t="shared" ref="AL91:AL102" si="85">AH91*$B$5+AC91</f>
        <v>1502207.2154894299</v>
      </c>
      <c r="AM91" s="1278">
        <f t="shared" ref="AM91:AM102" si="86">AI91*$B$5+AD91</f>
        <v>1495632.7533512444</v>
      </c>
      <c r="AN91" s="1275">
        <f t="shared" ref="AN91:AN102" si="87">IF(H91="nee",AM91,IF(G91="ja",AK91*(1+$C$16)+AL91*(1+$D$16)+AM91, AJ91*(1+$B$16)+AK91*(1+$C$16)+AL91*(1+$D$16)+AM91))</f>
        <v>4320600.7241061293</v>
      </c>
      <c r="AO91" s="1275">
        <f t="shared" ref="AO91:AO102" si="88">AN91+V91</f>
        <v>5199479.0952220233</v>
      </c>
      <c r="AP91" s="1275">
        <f t="shared" ref="AP91:AP102" si="89">IF(YEAR(D91)&lt;2014,$AO91*J91,0)</f>
        <v>0</v>
      </c>
      <c r="AQ91" s="1275">
        <f t="shared" ref="AQ91:AQ102" si="90">IF(YEAR(D91)&gt;2013,$AO91*J91,0)</f>
        <v>5027896.2850796962</v>
      </c>
      <c r="AR91" s="1275">
        <f t="shared" ref="AR91:AR102" si="91">$AO91*K91</f>
        <v>171582.81014232678</v>
      </c>
      <c r="AS91" s="1275">
        <f t="shared" ref="AS91:AS102" si="92">$AO91*L91</f>
        <v>0</v>
      </c>
    </row>
    <row r="92" spans="1:45" s="1279" customFormat="1">
      <c r="A92" s="682" t="s">
        <v>1148</v>
      </c>
      <c r="B92" s="683" t="s">
        <v>642</v>
      </c>
      <c r="C92" s="684">
        <v>185670.4098067091</v>
      </c>
      <c r="D92" s="685">
        <v>41901</v>
      </c>
      <c r="E92" s="691">
        <v>42</v>
      </c>
      <c r="F92" s="282" t="s">
        <v>876</v>
      </c>
      <c r="G92" s="687"/>
      <c r="H92" s="1310" t="s">
        <v>638</v>
      </c>
      <c r="I92" s="1277">
        <f t="shared" si="20"/>
        <v>1000000000</v>
      </c>
      <c r="J92" s="1280">
        <f t="shared" si="0"/>
        <v>0.96699999999999997</v>
      </c>
      <c r="K92" s="1280">
        <f t="shared" si="1"/>
        <v>3.3000000000000002E-2</v>
      </c>
      <c r="L92" s="1280">
        <f t="shared" si="2"/>
        <v>0</v>
      </c>
      <c r="M92" s="1283">
        <f t="shared" si="3"/>
        <v>0</v>
      </c>
      <c r="N92" s="1283">
        <f t="shared" si="3"/>
        <v>1</v>
      </c>
      <c r="O92" s="1283">
        <f t="shared" si="3"/>
        <v>1.01</v>
      </c>
      <c r="P92" s="1283">
        <f t="shared" si="3"/>
        <v>1.0180800000000001</v>
      </c>
      <c r="Q92" s="1282">
        <f t="shared" si="69"/>
        <v>1856.7040980670911</v>
      </c>
      <c r="R92" s="1276">
        <f t="shared" si="70"/>
        <v>0</v>
      </c>
      <c r="S92" s="1276">
        <f t="shared" si="71"/>
        <v>1856.7040980670911</v>
      </c>
      <c r="T92" s="1276">
        <f t="shared" si="72"/>
        <v>1875.2711390477621</v>
      </c>
      <c r="U92" s="1069">
        <f t="shared" si="73"/>
        <v>1890.2733081601443</v>
      </c>
      <c r="V92" s="1276">
        <f t="shared" si="74"/>
        <v>5848.7664452391809</v>
      </c>
      <c r="W92" s="1275">
        <f t="shared" si="9"/>
        <v>0</v>
      </c>
      <c r="X92" s="1275">
        <f t="shared" si="9"/>
        <v>6.1890136602236364E-5</v>
      </c>
      <c r="Y92" s="1275">
        <f t="shared" si="9"/>
        <v>1.8567040980670911E-4</v>
      </c>
      <c r="Z92" s="1278">
        <f t="shared" si="9"/>
        <v>1.8567040980670911E-4</v>
      </c>
      <c r="AA92" s="1284">
        <f t="shared" si="75"/>
        <v>0</v>
      </c>
      <c r="AB92" s="1284">
        <f t="shared" si="76"/>
        <v>6.1890136602236364E-5</v>
      </c>
      <c r="AC92" s="1284">
        <f t="shared" si="77"/>
        <v>1.875271139047762E-4</v>
      </c>
      <c r="AD92" s="1284">
        <f t="shared" si="78"/>
        <v>1.8902733081601443E-4</v>
      </c>
      <c r="AE92" s="1281"/>
      <c r="AF92" s="1275">
        <f t="shared" si="79"/>
        <v>0</v>
      </c>
      <c r="AG92" s="1275">
        <f t="shared" si="80"/>
        <v>185670.40974481896</v>
      </c>
      <c r="AH92" s="1275">
        <f t="shared" si="81"/>
        <v>187527.11365474001</v>
      </c>
      <c r="AI92" s="1278">
        <f t="shared" si="82"/>
        <v>189027.3303749506</v>
      </c>
      <c r="AJ92" s="1275">
        <f t="shared" si="83"/>
        <v>0</v>
      </c>
      <c r="AK92" s="1275">
        <f t="shared" si="84"/>
        <v>6684.134812703619</v>
      </c>
      <c r="AL92" s="1275">
        <f t="shared" si="85"/>
        <v>6750.9762790977538</v>
      </c>
      <c r="AM92" s="1278">
        <f t="shared" si="86"/>
        <v>6804.9840825255515</v>
      </c>
      <c r="AN92" s="1275">
        <f t="shared" si="87"/>
        <v>21055.559626207443</v>
      </c>
      <c r="AO92" s="1275">
        <f t="shared" si="88"/>
        <v>26904.326071446623</v>
      </c>
      <c r="AP92" s="1275">
        <f t="shared" si="89"/>
        <v>0</v>
      </c>
      <c r="AQ92" s="1275">
        <f t="shared" si="90"/>
        <v>26016.483311088883</v>
      </c>
      <c r="AR92" s="1275">
        <f t="shared" si="91"/>
        <v>887.8427603577386</v>
      </c>
      <c r="AS92" s="1275">
        <f t="shared" si="92"/>
        <v>0</v>
      </c>
    </row>
    <row r="93" spans="1:45" s="1279" customFormat="1">
      <c r="A93" s="682" t="s">
        <v>1148</v>
      </c>
      <c r="B93" s="683" t="s">
        <v>1145</v>
      </c>
      <c r="C93" s="684">
        <v>478443.78922244254</v>
      </c>
      <c r="D93" s="685">
        <v>42004</v>
      </c>
      <c r="E93" s="691">
        <v>21</v>
      </c>
      <c r="F93" s="282" t="s">
        <v>876</v>
      </c>
      <c r="G93" s="687"/>
      <c r="H93" s="1310" t="s">
        <v>638</v>
      </c>
      <c r="I93" s="1277">
        <f t="shared" si="20"/>
        <v>55</v>
      </c>
      <c r="J93" s="1280">
        <f t="shared" si="0"/>
        <v>0.96699999999999997</v>
      </c>
      <c r="K93" s="1280">
        <f t="shared" si="1"/>
        <v>3.3000000000000002E-2</v>
      </c>
      <c r="L93" s="1280">
        <f t="shared" si="2"/>
        <v>0</v>
      </c>
      <c r="M93" s="1283">
        <f t="shared" si="3"/>
        <v>0</v>
      </c>
      <c r="N93" s="1283">
        <f t="shared" si="3"/>
        <v>1</v>
      </c>
      <c r="O93" s="1283">
        <f t="shared" si="3"/>
        <v>1.01</v>
      </c>
      <c r="P93" s="1283">
        <f t="shared" si="3"/>
        <v>1.0180800000000001</v>
      </c>
      <c r="Q93" s="1282">
        <f t="shared" si="69"/>
        <v>4784.4378922244259</v>
      </c>
      <c r="R93" s="1276">
        <f t="shared" si="70"/>
        <v>0</v>
      </c>
      <c r="S93" s="1276">
        <f t="shared" si="71"/>
        <v>4784.4378922244259</v>
      </c>
      <c r="T93" s="1276">
        <f t="shared" si="72"/>
        <v>4832.2822711466706</v>
      </c>
      <c r="U93" s="1069">
        <f t="shared" si="73"/>
        <v>4870.9405293158443</v>
      </c>
      <c r="V93" s="1276">
        <f t="shared" si="74"/>
        <v>15071.362115538315</v>
      </c>
      <c r="W93" s="1275">
        <f t="shared" si="9"/>
        <v>0</v>
      </c>
      <c r="X93" s="1275">
        <f t="shared" si="9"/>
        <v>724.914832155216</v>
      </c>
      <c r="Y93" s="1275">
        <f t="shared" si="9"/>
        <v>8698.9779858625916</v>
      </c>
      <c r="Z93" s="1278">
        <f t="shared" si="9"/>
        <v>8698.9779858625916</v>
      </c>
      <c r="AA93" s="1284">
        <f t="shared" si="75"/>
        <v>0</v>
      </c>
      <c r="AB93" s="1284">
        <f t="shared" si="76"/>
        <v>724.914832155216</v>
      </c>
      <c r="AC93" s="1284">
        <f t="shared" si="77"/>
        <v>8785.9677657212178</v>
      </c>
      <c r="AD93" s="1284">
        <f t="shared" si="78"/>
        <v>8856.2555078469886</v>
      </c>
      <c r="AE93" s="1281"/>
      <c r="AF93" s="1275">
        <f t="shared" si="79"/>
        <v>0</v>
      </c>
      <c r="AG93" s="1275">
        <f t="shared" si="80"/>
        <v>477718.87439028732</v>
      </c>
      <c r="AH93" s="1275">
        <f t="shared" si="81"/>
        <v>473710.09536846902</v>
      </c>
      <c r="AI93" s="1278">
        <f t="shared" si="82"/>
        <v>468643.52062356978</v>
      </c>
      <c r="AJ93" s="1275">
        <f t="shared" si="83"/>
        <v>0</v>
      </c>
      <c r="AK93" s="1275">
        <f t="shared" si="84"/>
        <v>17922.794310205558</v>
      </c>
      <c r="AL93" s="1275">
        <f t="shared" si="85"/>
        <v>25839.5311989861</v>
      </c>
      <c r="AM93" s="1278">
        <f t="shared" si="86"/>
        <v>25727.422250295498</v>
      </c>
      <c r="AN93" s="1275">
        <f t="shared" si="87"/>
        <v>71985.829023159342</v>
      </c>
      <c r="AO93" s="1275">
        <f t="shared" si="88"/>
        <v>87057.191138697657</v>
      </c>
      <c r="AP93" s="1275">
        <f t="shared" si="89"/>
        <v>0</v>
      </c>
      <c r="AQ93" s="1275">
        <f t="shared" si="90"/>
        <v>84184.303831120633</v>
      </c>
      <c r="AR93" s="1275">
        <f t="shared" si="91"/>
        <v>2872.887307577023</v>
      </c>
      <c r="AS93" s="1275">
        <f t="shared" si="92"/>
        <v>0</v>
      </c>
    </row>
    <row r="94" spans="1:45" s="1279" customFormat="1">
      <c r="A94" s="682" t="s">
        <v>1148</v>
      </c>
      <c r="B94" s="683" t="s">
        <v>1147</v>
      </c>
      <c r="C94" s="684">
        <v>1081112.53434</v>
      </c>
      <c r="D94" s="685">
        <v>42186</v>
      </c>
      <c r="E94" s="691">
        <v>21</v>
      </c>
      <c r="F94" s="282" t="s">
        <v>876</v>
      </c>
      <c r="G94" s="687"/>
      <c r="H94" s="1310" t="s">
        <v>638</v>
      </c>
      <c r="I94" s="1277">
        <f t="shared" si="20"/>
        <v>55</v>
      </c>
      <c r="J94" s="1280">
        <f t="shared" si="0"/>
        <v>0.96699999999999997</v>
      </c>
      <c r="K94" s="1280">
        <f t="shared" si="1"/>
        <v>3.3000000000000002E-2</v>
      </c>
      <c r="L94" s="1280">
        <f t="shared" si="2"/>
        <v>0</v>
      </c>
      <c r="M94" s="1283">
        <f t="shared" si="3"/>
        <v>0</v>
      </c>
      <c r="N94" s="1283">
        <f t="shared" si="3"/>
        <v>0</v>
      </c>
      <c r="O94" s="1283">
        <f t="shared" si="3"/>
        <v>1</v>
      </c>
      <c r="P94" s="1283">
        <f t="shared" si="3"/>
        <v>1.008</v>
      </c>
      <c r="Q94" s="1282">
        <f t="shared" si="69"/>
        <v>10811.125343400001</v>
      </c>
      <c r="R94" s="1276">
        <f t="shared" si="70"/>
        <v>0</v>
      </c>
      <c r="S94" s="1276">
        <f t="shared" si="71"/>
        <v>0</v>
      </c>
      <c r="T94" s="1276">
        <f t="shared" si="72"/>
        <v>10811.125343400001</v>
      </c>
      <c r="U94" s="1069">
        <f t="shared" si="73"/>
        <v>10897.6143461472</v>
      </c>
      <c r="V94" s="1276">
        <f t="shared" si="74"/>
        <v>22141.184703283197</v>
      </c>
      <c r="W94" s="1275">
        <f t="shared" si="9"/>
        <v>0</v>
      </c>
      <c r="X94" s="1275">
        <f t="shared" si="9"/>
        <v>0</v>
      </c>
      <c r="Y94" s="1275">
        <f t="shared" si="9"/>
        <v>9828.2957667272731</v>
      </c>
      <c r="Z94" s="1278">
        <f t="shared" si="9"/>
        <v>19656.591533454546</v>
      </c>
      <c r="AA94" s="1284">
        <f t="shared" si="75"/>
        <v>0</v>
      </c>
      <c r="AB94" s="1284">
        <f t="shared" si="76"/>
        <v>0</v>
      </c>
      <c r="AC94" s="1284">
        <f t="shared" si="77"/>
        <v>9828.2957667272731</v>
      </c>
      <c r="AD94" s="1284">
        <f t="shared" si="78"/>
        <v>19813.844265722182</v>
      </c>
      <c r="AE94" s="1281"/>
      <c r="AF94" s="1275">
        <f t="shared" si="79"/>
        <v>0</v>
      </c>
      <c r="AG94" s="1275">
        <f t="shared" si="80"/>
        <v>0</v>
      </c>
      <c r="AH94" s="1275">
        <f t="shared" si="81"/>
        <v>1071284.2385732727</v>
      </c>
      <c r="AI94" s="1278">
        <f t="shared" si="82"/>
        <v>1060040.6682161367</v>
      </c>
      <c r="AJ94" s="1275">
        <f t="shared" si="83"/>
        <v>0</v>
      </c>
      <c r="AK94" s="1275">
        <f t="shared" si="84"/>
        <v>0</v>
      </c>
      <c r="AL94" s="1275">
        <f t="shared" si="85"/>
        <v>48394.528355365088</v>
      </c>
      <c r="AM94" s="1278">
        <f t="shared" si="86"/>
        <v>57975.3083215031</v>
      </c>
      <c r="AN94" s="1275">
        <f t="shared" si="87"/>
        <v>108305.61781108278</v>
      </c>
      <c r="AO94" s="1275">
        <f t="shared" si="88"/>
        <v>130446.80251436598</v>
      </c>
      <c r="AP94" s="1275">
        <f t="shared" si="89"/>
        <v>0</v>
      </c>
      <c r="AQ94" s="1275">
        <f t="shared" si="90"/>
        <v>126142.05803139189</v>
      </c>
      <c r="AR94" s="1275">
        <f t="shared" si="91"/>
        <v>4304.7444829740771</v>
      </c>
      <c r="AS94" s="1275">
        <f t="shared" si="92"/>
        <v>0</v>
      </c>
    </row>
    <row r="95" spans="1:45" s="1279" customFormat="1">
      <c r="A95" s="682" t="s">
        <v>1150</v>
      </c>
      <c r="B95" s="683" t="s">
        <v>630</v>
      </c>
      <c r="C95" s="684">
        <v>1028805.3790544003</v>
      </c>
      <c r="D95" s="685">
        <v>41907</v>
      </c>
      <c r="E95" s="691">
        <v>15</v>
      </c>
      <c r="F95" s="282" t="s">
        <v>876</v>
      </c>
      <c r="G95" s="687"/>
      <c r="H95" s="1310" t="s">
        <v>638</v>
      </c>
      <c r="I95" s="1277">
        <f t="shared" si="20"/>
        <v>30</v>
      </c>
      <c r="J95" s="1280">
        <f t="shared" si="0"/>
        <v>0.96699999999999997</v>
      </c>
      <c r="K95" s="1280">
        <f t="shared" si="1"/>
        <v>3.3000000000000002E-2</v>
      </c>
      <c r="L95" s="1280">
        <f t="shared" si="2"/>
        <v>0</v>
      </c>
      <c r="M95" s="1283">
        <f t="shared" si="3"/>
        <v>0</v>
      </c>
      <c r="N95" s="1283">
        <f t="shared" si="3"/>
        <v>1</v>
      </c>
      <c r="O95" s="1283">
        <f t="shared" si="3"/>
        <v>1.01</v>
      </c>
      <c r="P95" s="1283">
        <f t="shared" si="3"/>
        <v>1.0180800000000001</v>
      </c>
      <c r="Q95" s="1282">
        <f t="shared" si="69"/>
        <v>10288.053790544003</v>
      </c>
      <c r="R95" s="1276">
        <f t="shared" si="70"/>
        <v>0</v>
      </c>
      <c r="S95" s="1276">
        <f t="shared" si="71"/>
        <v>10288.053790544003</v>
      </c>
      <c r="T95" s="1276">
        <f t="shared" si="72"/>
        <v>10390.934328449443</v>
      </c>
      <c r="U95" s="1069">
        <f t="shared" si="73"/>
        <v>10474.06180307704</v>
      </c>
      <c r="V95" s="1276">
        <f t="shared" si="74"/>
        <v>32408.19248451684</v>
      </c>
      <c r="W95" s="1275">
        <f t="shared" si="9"/>
        <v>0</v>
      </c>
      <c r="X95" s="1275">
        <f t="shared" si="9"/>
        <v>11431.170878382225</v>
      </c>
      <c r="Y95" s="1275">
        <f t="shared" si="9"/>
        <v>34293.512635146675</v>
      </c>
      <c r="Z95" s="1278">
        <f t="shared" si="9"/>
        <v>34293.512635146675</v>
      </c>
      <c r="AA95" s="1284">
        <f t="shared" si="75"/>
        <v>0</v>
      </c>
      <c r="AB95" s="1284">
        <f t="shared" si="76"/>
        <v>11431.170878382225</v>
      </c>
      <c r="AC95" s="1284">
        <f t="shared" si="77"/>
        <v>34636.447761498144</v>
      </c>
      <c r="AD95" s="1284">
        <f t="shared" si="78"/>
        <v>34913.539343590128</v>
      </c>
      <c r="AE95" s="1281"/>
      <c r="AF95" s="1275">
        <f t="shared" si="79"/>
        <v>0</v>
      </c>
      <c r="AG95" s="1275">
        <f t="shared" si="80"/>
        <v>1017374.208176018</v>
      </c>
      <c r="AH95" s="1275">
        <f t="shared" si="81"/>
        <v>992911.50249628001</v>
      </c>
      <c r="AI95" s="1278">
        <f t="shared" si="82"/>
        <v>965941.25517266011</v>
      </c>
      <c r="AJ95" s="1275">
        <f t="shared" si="83"/>
        <v>0</v>
      </c>
      <c r="AK95" s="1275">
        <f t="shared" si="84"/>
        <v>48056.642372718867</v>
      </c>
      <c r="AL95" s="1275">
        <f t="shared" si="85"/>
        <v>70381.261851364223</v>
      </c>
      <c r="AM95" s="1278">
        <f t="shared" si="86"/>
        <v>69687.424529805896</v>
      </c>
      <c r="AN95" s="1275">
        <f t="shared" si="87"/>
        <v>194862.00124555736</v>
      </c>
      <c r="AO95" s="1275">
        <f t="shared" si="88"/>
        <v>227270.19373007421</v>
      </c>
      <c r="AP95" s="1275">
        <f t="shared" si="89"/>
        <v>0</v>
      </c>
      <c r="AQ95" s="1275">
        <f t="shared" si="90"/>
        <v>219770.27733698176</v>
      </c>
      <c r="AR95" s="1275">
        <f t="shared" si="91"/>
        <v>7499.9163930924497</v>
      </c>
      <c r="AS95" s="1275">
        <f t="shared" si="92"/>
        <v>0</v>
      </c>
    </row>
    <row r="96" spans="1:45" s="1279" customFormat="1">
      <c r="A96" s="682" t="s">
        <v>1150</v>
      </c>
      <c r="B96" s="683" t="s">
        <v>1130</v>
      </c>
      <c r="C96" s="684">
        <v>62654.557730160072</v>
      </c>
      <c r="D96" s="685">
        <v>42004</v>
      </c>
      <c r="E96" s="691">
        <v>15</v>
      </c>
      <c r="F96" s="282" t="s">
        <v>876</v>
      </c>
      <c r="G96" s="687"/>
      <c r="H96" s="1310" t="s">
        <v>638</v>
      </c>
      <c r="I96" s="1277">
        <f t="shared" si="20"/>
        <v>30</v>
      </c>
      <c r="J96" s="1280">
        <f t="shared" si="0"/>
        <v>0.96699999999999997</v>
      </c>
      <c r="K96" s="1280">
        <f t="shared" si="1"/>
        <v>3.3000000000000002E-2</v>
      </c>
      <c r="L96" s="1280">
        <f t="shared" si="2"/>
        <v>0</v>
      </c>
      <c r="M96" s="1283">
        <f t="shared" si="3"/>
        <v>0</v>
      </c>
      <c r="N96" s="1283">
        <f t="shared" si="3"/>
        <v>1</v>
      </c>
      <c r="O96" s="1283">
        <f t="shared" si="3"/>
        <v>1.01</v>
      </c>
      <c r="P96" s="1283">
        <f t="shared" si="3"/>
        <v>1.0180800000000001</v>
      </c>
      <c r="Q96" s="1282">
        <f t="shared" si="69"/>
        <v>626.5455773016007</v>
      </c>
      <c r="R96" s="1276">
        <f t="shared" si="70"/>
        <v>0</v>
      </c>
      <c r="S96" s="1276">
        <f t="shared" si="71"/>
        <v>626.5455773016007</v>
      </c>
      <c r="T96" s="1276">
        <f t="shared" si="72"/>
        <v>632.81103307461672</v>
      </c>
      <c r="U96" s="1069">
        <f t="shared" si="73"/>
        <v>637.87352133921365</v>
      </c>
      <c r="V96" s="1276">
        <f t="shared" si="74"/>
        <v>1973.6686921462256</v>
      </c>
      <c r="W96" s="1275">
        <f t="shared" si="9"/>
        <v>0</v>
      </c>
      <c r="X96" s="1275">
        <f t="shared" si="9"/>
        <v>174.04043813933353</v>
      </c>
      <c r="Y96" s="1275">
        <f t="shared" si="9"/>
        <v>2088.4852576720023</v>
      </c>
      <c r="Z96" s="1278">
        <f t="shared" si="9"/>
        <v>2088.4852576720023</v>
      </c>
      <c r="AA96" s="1284">
        <f t="shared" si="75"/>
        <v>0</v>
      </c>
      <c r="AB96" s="1284">
        <f t="shared" si="76"/>
        <v>174.04043813933353</v>
      </c>
      <c r="AC96" s="1284">
        <f t="shared" si="77"/>
        <v>2109.3701102487221</v>
      </c>
      <c r="AD96" s="1284">
        <f t="shared" si="78"/>
        <v>2126.2450711307124</v>
      </c>
      <c r="AE96" s="1281"/>
      <c r="AF96" s="1275">
        <f t="shared" si="79"/>
        <v>0</v>
      </c>
      <c r="AG96" s="1275">
        <f t="shared" si="80"/>
        <v>62480.517292020741</v>
      </c>
      <c r="AH96" s="1275">
        <f t="shared" si="81"/>
        <v>60995.952354692221</v>
      </c>
      <c r="AI96" s="1278">
        <f t="shared" si="82"/>
        <v>59357.674902399049</v>
      </c>
      <c r="AJ96" s="1275">
        <f t="shared" si="83"/>
        <v>0</v>
      </c>
      <c r="AK96" s="1275">
        <f t="shared" si="84"/>
        <v>2423.3390606520802</v>
      </c>
      <c r="AL96" s="1275">
        <f t="shared" si="85"/>
        <v>4305.2243950176417</v>
      </c>
      <c r="AM96" s="1278">
        <f t="shared" si="86"/>
        <v>4263.1213676170773</v>
      </c>
      <c r="AN96" s="1275">
        <f t="shared" si="87"/>
        <v>11361.638266436712</v>
      </c>
      <c r="AO96" s="1275">
        <f t="shared" si="88"/>
        <v>13335.306958582938</v>
      </c>
      <c r="AP96" s="1275">
        <f t="shared" si="89"/>
        <v>0</v>
      </c>
      <c r="AQ96" s="1275">
        <f t="shared" si="90"/>
        <v>12895.2418289497</v>
      </c>
      <c r="AR96" s="1275">
        <f t="shared" si="91"/>
        <v>440.06512963323695</v>
      </c>
      <c r="AS96" s="1275">
        <f t="shared" si="92"/>
        <v>0</v>
      </c>
    </row>
    <row r="97" spans="1:45" s="1279" customFormat="1">
      <c r="A97" s="682" t="s">
        <v>1150</v>
      </c>
      <c r="B97" s="683" t="s">
        <v>1133</v>
      </c>
      <c r="C97" s="684">
        <v>56844.276870000002</v>
      </c>
      <c r="D97" s="685">
        <v>42186</v>
      </c>
      <c r="E97" s="691">
        <v>15</v>
      </c>
      <c r="F97" s="282" t="s">
        <v>876</v>
      </c>
      <c r="G97" s="687"/>
      <c r="H97" s="1310" t="s">
        <v>638</v>
      </c>
      <c r="I97" s="1277">
        <f t="shared" si="20"/>
        <v>30</v>
      </c>
      <c r="J97" s="1280">
        <f t="shared" si="0"/>
        <v>0.96699999999999997</v>
      </c>
      <c r="K97" s="1280">
        <f t="shared" si="1"/>
        <v>3.3000000000000002E-2</v>
      </c>
      <c r="L97" s="1280">
        <f t="shared" si="2"/>
        <v>0</v>
      </c>
      <c r="M97" s="1283">
        <f t="shared" si="3"/>
        <v>0</v>
      </c>
      <c r="N97" s="1283">
        <f t="shared" si="3"/>
        <v>0</v>
      </c>
      <c r="O97" s="1283">
        <f t="shared" si="3"/>
        <v>1</v>
      </c>
      <c r="P97" s="1283">
        <f t="shared" si="3"/>
        <v>1.008</v>
      </c>
      <c r="Q97" s="1282">
        <f t="shared" si="69"/>
        <v>568.44276869999999</v>
      </c>
      <c r="R97" s="1276">
        <f t="shared" si="70"/>
        <v>0</v>
      </c>
      <c r="S97" s="1276">
        <f t="shared" si="71"/>
        <v>0</v>
      </c>
      <c r="T97" s="1276">
        <f t="shared" si="72"/>
        <v>568.44276869999999</v>
      </c>
      <c r="U97" s="1069">
        <f t="shared" si="73"/>
        <v>572.99031084959995</v>
      </c>
      <c r="V97" s="1276">
        <f t="shared" si="74"/>
        <v>1164.1707902975998</v>
      </c>
      <c r="W97" s="1275">
        <f t="shared" si="9"/>
        <v>0</v>
      </c>
      <c r="X97" s="1275">
        <f t="shared" si="9"/>
        <v>0</v>
      </c>
      <c r="Y97" s="1275">
        <f t="shared" si="9"/>
        <v>947.40461449999998</v>
      </c>
      <c r="Z97" s="1278">
        <f t="shared" si="9"/>
        <v>1894.809229</v>
      </c>
      <c r="AA97" s="1284">
        <f t="shared" si="75"/>
        <v>0</v>
      </c>
      <c r="AB97" s="1284">
        <f t="shared" si="76"/>
        <v>0</v>
      </c>
      <c r="AC97" s="1284">
        <f t="shared" si="77"/>
        <v>947.40461449999998</v>
      </c>
      <c r="AD97" s="1284">
        <f t="shared" si="78"/>
        <v>1909.967702832</v>
      </c>
      <c r="AE97" s="1281"/>
      <c r="AF97" s="1275">
        <f t="shared" si="79"/>
        <v>0</v>
      </c>
      <c r="AG97" s="1275">
        <f t="shared" si="80"/>
        <v>0</v>
      </c>
      <c r="AH97" s="1275">
        <f t="shared" si="81"/>
        <v>55896.872255499999</v>
      </c>
      <c r="AI97" s="1278">
        <f t="shared" si="82"/>
        <v>54434.079530711999</v>
      </c>
      <c r="AJ97" s="1275">
        <f t="shared" si="83"/>
        <v>0</v>
      </c>
      <c r="AK97" s="1275">
        <f t="shared" si="84"/>
        <v>0</v>
      </c>
      <c r="AL97" s="1275">
        <f t="shared" si="85"/>
        <v>2959.6920156979995</v>
      </c>
      <c r="AM97" s="1278">
        <f t="shared" si="86"/>
        <v>3869.5945659376321</v>
      </c>
      <c r="AN97" s="1275">
        <f t="shared" si="87"/>
        <v>6947.6742622635502</v>
      </c>
      <c r="AO97" s="1275">
        <f t="shared" si="88"/>
        <v>8111.8450525611497</v>
      </c>
      <c r="AP97" s="1275">
        <f t="shared" si="89"/>
        <v>0</v>
      </c>
      <c r="AQ97" s="1275">
        <f t="shared" si="90"/>
        <v>7844.1541658266315</v>
      </c>
      <c r="AR97" s="1275">
        <f t="shared" si="91"/>
        <v>267.69088673451796</v>
      </c>
      <c r="AS97" s="1275">
        <f t="shared" si="92"/>
        <v>0</v>
      </c>
    </row>
    <row r="98" spans="1:45" s="1279" customFormat="1">
      <c r="A98" s="682" t="s">
        <v>1150</v>
      </c>
      <c r="B98" s="683" t="s">
        <v>878</v>
      </c>
      <c r="C98" s="684">
        <v>1822433.8086883805</v>
      </c>
      <c r="D98" s="685">
        <v>41911</v>
      </c>
      <c r="E98" s="691">
        <v>2</v>
      </c>
      <c r="F98" s="282" t="s">
        <v>876</v>
      </c>
      <c r="G98" s="687"/>
      <c r="H98" s="1310" t="s">
        <v>638</v>
      </c>
      <c r="I98" s="1277">
        <f t="shared" si="20"/>
        <v>30</v>
      </c>
      <c r="J98" s="1280">
        <f t="shared" si="0"/>
        <v>0.96699999999999997</v>
      </c>
      <c r="K98" s="1280">
        <f t="shared" si="1"/>
        <v>3.3000000000000002E-2</v>
      </c>
      <c r="L98" s="1280">
        <f t="shared" si="2"/>
        <v>0</v>
      </c>
      <c r="M98" s="1283">
        <f t="shared" si="3"/>
        <v>0</v>
      </c>
      <c r="N98" s="1283">
        <f t="shared" si="3"/>
        <v>1</v>
      </c>
      <c r="O98" s="1283">
        <f t="shared" si="3"/>
        <v>1.01</v>
      </c>
      <c r="P98" s="1283">
        <f t="shared" si="3"/>
        <v>1.0180800000000001</v>
      </c>
      <c r="Q98" s="1282">
        <f t="shared" si="69"/>
        <v>18224.338086883807</v>
      </c>
      <c r="R98" s="1276">
        <f t="shared" si="70"/>
        <v>0</v>
      </c>
      <c r="S98" s="1276">
        <f t="shared" si="71"/>
        <v>18224.338086883807</v>
      </c>
      <c r="T98" s="1276">
        <f t="shared" si="72"/>
        <v>18406.581467752643</v>
      </c>
      <c r="U98" s="1069">
        <f t="shared" si="73"/>
        <v>18553.834119494666</v>
      </c>
      <c r="V98" s="1276">
        <f t="shared" si="74"/>
        <v>57408.122920730922</v>
      </c>
      <c r="W98" s="1275">
        <f t="shared" si="9"/>
        <v>0</v>
      </c>
      <c r="X98" s="1275">
        <f t="shared" si="9"/>
        <v>20249.264540982007</v>
      </c>
      <c r="Y98" s="1275">
        <f t="shared" si="9"/>
        <v>60747.793622946017</v>
      </c>
      <c r="Z98" s="1278">
        <f t="shared" si="9"/>
        <v>60747.793622946017</v>
      </c>
      <c r="AA98" s="1284">
        <f t="shared" si="75"/>
        <v>0</v>
      </c>
      <c r="AB98" s="1284">
        <f t="shared" si="76"/>
        <v>20249.264540982007</v>
      </c>
      <c r="AC98" s="1284">
        <f t="shared" si="77"/>
        <v>61355.271559175475</v>
      </c>
      <c r="AD98" s="1284">
        <f t="shared" si="78"/>
        <v>61846.113731648889</v>
      </c>
      <c r="AE98" s="1281"/>
      <c r="AF98" s="1275">
        <f t="shared" si="79"/>
        <v>0</v>
      </c>
      <c r="AG98" s="1275">
        <f t="shared" si="80"/>
        <v>1802184.5441473986</v>
      </c>
      <c r="AH98" s="1275">
        <f t="shared" si="81"/>
        <v>1758851.1180296971</v>
      </c>
      <c r="AI98" s="1278">
        <f t="shared" si="82"/>
        <v>1711075.813242286</v>
      </c>
      <c r="AJ98" s="1275">
        <f t="shared" si="83"/>
        <v>0</v>
      </c>
      <c r="AK98" s="1275">
        <f t="shared" si="84"/>
        <v>85127.908130288357</v>
      </c>
      <c r="AL98" s="1275">
        <f t="shared" si="85"/>
        <v>124673.91180824456</v>
      </c>
      <c r="AM98" s="1278">
        <f t="shared" si="86"/>
        <v>123444.84300837119</v>
      </c>
      <c r="AN98" s="1275">
        <f t="shared" si="87"/>
        <v>345180.05672266532</v>
      </c>
      <c r="AO98" s="1275">
        <f t="shared" si="88"/>
        <v>402588.17964339623</v>
      </c>
      <c r="AP98" s="1275">
        <f t="shared" si="89"/>
        <v>0</v>
      </c>
      <c r="AQ98" s="1275">
        <f t="shared" si="90"/>
        <v>389302.76971516415</v>
      </c>
      <c r="AR98" s="1275">
        <f t="shared" si="91"/>
        <v>13285.409928232077</v>
      </c>
      <c r="AS98" s="1275">
        <f t="shared" si="92"/>
        <v>0</v>
      </c>
    </row>
    <row r="99" spans="1:45" s="1279" customFormat="1">
      <c r="A99" s="682" t="s">
        <v>1150</v>
      </c>
      <c r="B99" s="683" t="s">
        <v>1152</v>
      </c>
      <c r="C99" s="684">
        <v>201992.26801999999</v>
      </c>
      <c r="D99" s="685">
        <v>42186</v>
      </c>
      <c r="E99" s="691">
        <v>2</v>
      </c>
      <c r="F99" s="282" t="s">
        <v>876</v>
      </c>
      <c r="G99" s="687"/>
      <c r="H99" s="1310" t="s">
        <v>638</v>
      </c>
      <c r="I99" s="1277">
        <f t="shared" si="20"/>
        <v>30</v>
      </c>
      <c r="J99" s="1280">
        <f t="shared" si="0"/>
        <v>0.96699999999999997</v>
      </c>
      <c r="K99" s="1280">
        <f t="shared" si="1"/>
        <v>3.3000000000000002E-2</v>
      </c>
      <c r="L99" s="1280">
        <f t="shared" si="2"/>
        <v>0</v>
      </c>
      <c r="M99" s="1283">
        <f t="shared" si="3"/>
        <v>0</v>
      </c>
      <c r="N99" s="1283">
        <f t="shared" si="3"/>
        <v>0</v>
      </c>
      <c r="O99" s="1283">
        <f t="shared" si="3"/>
        <v>1</v>
      </c>
      <c r="P99" s="1283">
        <f t="shared" si="3"/>
        <v>1.008</v>
      </c>
      <c r="Q99" s="1282">
        <f t="shared" si="69"/>
        <v>2019.9226801999998</v>
      </c>
      <c r="R99" s="1276">
        <f t="shared" si="70"/>
        <v>0</v>
      </c>
      <c r="S99" s="1276">
        <f t="shared" si="71"/>
        <v>0</v>
      </c>
      <c r="T99" s="1276">
        <f t="shared" si="72"/>
        <v>2019.9226801999998</v>
      </c>
      <c r="U99" s="1069">
        <f t="shared" si="73"/>
        <v>2036.0820616415999</v>
      </c>
      <c r="V99" s="1276">
        <f t="shared" si="74"/>
        <v>4136.8016490495993</v>
      </c>
      <c r="W99" s="1275">
        <f t="shared" si="9"/>
        <v>0</v>
      </c>
      <c r="X99" s="1275">
        <f t="shared" si="9"/>
        <v>0</v>
      </c>
      <c r="Y99" s="1275">
        <f t="shared" si="9"/>
        <v>3366.5378003333331</v>
      </c>
      <c r="Z99" s="1278">
        <f t="shared" si="9"/>
        <v>6733.0756006666661</v>
      </c>
      <c r="AA99" s="1284">
        <f t="shared" si="75"/>
        <v>0</v>
      </c>
      <c r="AB99" s="1284">
        <f t="shared" si="76"/>
        <v>0</v>
      </c>
      <c r="AC99" s="1284">
        <f t="shared" si="77"/>
        <v>3366.5378003333331</v>
      </c>
      <c r="AD99" s="1284">
        <f t="shared" si="78"/>
        <v>6786.9402054719994</v>
      </c>
      <c r="AE99" s="1281"/>
      <c r="AF99" s="1275">
        <f t="shared" si="79"/>
        <v>0</v>
      </c>
      <c r="AG99" s="1275">
        <f t="shared" si="80"/>
        <v>0</v>
      </c>
      <c r="AH99" s="1275">
        <f t="shared" si="81"/>
        <v>198625.73021966664</v>
      </c>
      <c r="AI99" s="1278">
        <f t="shared" si="82"/>
        <v>193427.79585595199</v>
      </c>
      <c r="AJ99" s="1275">
        <f t="shared" si="83"/>
        <v>0</v>
      </c>
      <c r="AK99" s="1275">
        <f t="shared" si="84"/>
        <v>0</v>
      </c>
      <c r="AL99" s="1275">
        <f t="shared" si="85"/>
        <v>10517.064088241332</v>
      </c>
      <c r="AM99" s="1278">
        <f t="shared" si="86"/>
        <v>13750.340856286271</v>
      </c>
      <c r="AN99" s="1275">
        <f t="shared" si="87"/>
        <v>24688.087508057251</v>
      </c>
      <c r="AO99" s="1275">
        <f t="shared" si="88"/>
        <v>28824.889157106853</v>
      </c>
      <c r="AP99" s="1275">
        <f t="shared" si="89"/>
        <v>0</v>
      </c>
      <c r="AQ99" s="1275">
        <f t="shared" si="90"/>
        <v>27873.667814922326</v>
      </c>
      <c r="AR99" s="1275">
        <f t="shared" si="91"/>
        <v>951.22134218452618</v>
      </c>
      <c r="AS99" s="1275">
        <f t="shared" si="92"/>
        <v>0</v>
      </c>
    </row>
    <row r="100" spans="1:45" s="1279" customFormat="1">
      <c r="A100" s="682" t="s">
        <v>1151</v>
      </c>
      <c r="B100" s="683" t="s">
        <v>881</v>
      </c>
      <c r="C100" s="684">
        <v>18404405.632848594</v>
      </c>
      <c r="D100" s="685">
        <v>41908</v>
      </c>
      <c r="E100" s="691">
        <v>17</v>
      </c>
      <c r="F100" s="282" t="s">
        <v>876</v>
      </c>
      <c r="G100" s="687"/>
      <c r="H100" s="1310" t="s">
        <v>638</v>
      </c>
      <c r="I100" s="1277">
        <f t="shared" si="20"/>
        <v>30</v>
      </c>
      <c r="J100" s="1280">
        <f t="shared" si="0"/>
        <v>0</v>
      </c>
      <c r="K100" s="1280">
        <f t="shared" si="1"/>
        <v>0</v>
      </c>
      <c r="L100" s="1280">
        <f t="shared" si="2"/>
        <v>1</v>
      </c>
      <c r="M100" s="1283">
        <f t="shared" si="3"/>
        <v>0</v>
      </c>
      <c r="N100" s="1283">
        <f t="shared" si="3"/>
        <v>1</v>
      </c>
      <c r="O100" s="1283">
        <f t="shared" si="3"/>
        <v>1.01</v>
      </c>
      <c r="P100" s="1283">
        <f t="shared" si="3"/>
        <v>1.0180800000000001</v>
      </c>
      <c r="Q100" s="1282">
        <f t="shared" si="69"/>
        <v>184044.05632848595</v>
      </c>
      <c r="R100" s="1276">
        <f t="shared" si="70"/>
        <v>0</v>
      </c>
      <c r="S100" s="1276">
        <f t="shared" si="71"/>
        <v>184044.05632848595</v>
      </c>
      <c r="T100" s="1276">
        <f t="shared" si="72"/>
        <v>185884.4968917708</v>
      </c>
      <c r="U100" s="1069">
        <f t="shared" si="73"/>
        <v>187371.57286690499</v>
      </c>
      <c r="V100" s="1276">
        <f t="shared" si="74"/>
        <v>579753.50095923687</v>
      </c>
      <c r="W100" s="1275">
        <f t="shared" si="9"/>
        <v>0</v>
      </c>
      <c r="X100" s="1275">
        <f t="shared" si="9"/>
        <v>204493.39592053992</v>
      </c>
      <c r="Y100" s="1275">
        <f t="shared" si="9"/>
        <v>613480.1877616198</v>
      </c>
      <c r="Z100" s="1278">
        <f t="shared" si="9"/>
        <v>613480.1877616198</v>
      </c>
      <c r="AA100" s="1284">
        <f t="shared" si="75"/>
        <v>0</v>
      </c>
      <c r="AB100" s="1284">
        <f t="shared" si="76"/>
        <v>204493.39592053992</v>
      </c>
      <c r="AC100" s="1284">
        <f t="shared" si="77"/>
        <v>619614.98963923601</v>
      </c>
      <c r="AD100" s="1284">
        <f t="shared" si="78"/>
        <v>624571.90955634997</v>
      </c>
      <c r="AE100" s="1281"/>
      <c r="AF100" s="1275">
        <f t="shared" si="79"/>
        <v>0</v>
      </c>
      <c r="AG100" s="1275">
        <f t="shared" si="80"/>
        <v>18199912.236928053</v>
      </c>
      <c r="AH100" s="1275">
        <f t="shared" si="81"/>
        <v>17762296.369658098</v>
      </c>
      <c r="AI100" s="1278">
        <f t="shared" si="82"/>
        <v>17279822.831059013</v>
      </c>
      <c r="AJ100" s="1275">
        <f t="shared" si="83"/>
        <v>0</v>
      </c>
      <c r="AK100" s="1275">
        <f t="shared" si="84"/>
        <v>859690.23644994968</v>
      </c>
      <c r="AL100" s="1275">
        <f t="shared" si="85"/>
        <v>1259057.6589469276</v>
      </c>
      <c r="AM100" s="1278">
        <f t="shared" si="86"/>
        <v>1246645.5314744744</v>
      </c>
      <c r="AN100" s="1275">
        <f t="shared" si="87"/>
        <v>3485906.4565235437</v>
      </c>
      <c r="AO100" s="1275">
        <f t="shared" si="88"/>
        <v>4065659.9574827803</v>
      </c>
      <c r="AP100" s="1275">
        <f t="shared" si="89"/>
        <v>0</v>
      </c>
      <c r="AQ100" s="1275">
        <f t="shared" si="90"/>
        <v>0</v>
      </c>
      <c r="AR100" s="1275">
        <f t="shared" si="91"/>
        <v>0</v>
      </c>
      <c r="AS100" s="1275">
        <f t="shared" si="92"/>
        <v>4065659.9574827803</v>
      </c>
    </row>
    <row r="101" spans="1:45" s="1279" customFormat="1">
      <c r="A101" s="682" t="s">
        <v>1151</v>
      </c>
      <c r="B101" s="683" t="s">
        <v>1140</v>
      </c>
      <c r="C101" s="684">
        <v>872968.55736592086</v>
      </c>
      <c r="D101" s="685">
        <v>42004</v>
      </c>
      <c r="E101" s="691">
        <v>17</v>
      </c>
      <c r="F101" s="282" t="s">
        <v>876</v>
      </c>
      <c r="G101" s="687"/>
      <c r="H101" s="1310" t="s">
        <v>638</v>
      </c>
      <c r="I101" s="1277">
        <f t="shared" si="20"/>
        <v>30</v>
      </c>
      <c r="J101" s="1280">
        <f t="shared" si="0"/>
        <v>0</v>
      </c>
      <c r="K101" s="1280">
        <f t="shared" si="1"/>
        <v>0</v>
      </c>
      <c r="L101" s="1280">
        <f t="shared" si="2"/>
        <v>1</v>
      </c>
      <c r="M101" s="1283">
        <f t="shared" si="3"/>
        <v>0</v>
      </c>
      <c r="N101" s="1283">
        <f t="shared" si="3"/>
        <v>1</v>
      </c>
      <c r="O101" s="1283">
        <f t="shared" si="3"/>
        <v>1.01</v>
      </c>
      <c r="P101" s="1283">
        <f t="shared" si="3"/>
        <v>1.0180800000000001</v>
      </c>
      <c r="Q101" s="1282">
        <f t="shared" si="69"/>
        <v>8729.6855736592079</v>
      </c>
      <c r="R101" s="1276">
        <f t="shared" si="70"/>
        <v>0</v>
      </c>
      <c r="S101" s="1276">
        <f t="shared" si="71"/>
        <v>8729.6855736592079</v>
      </c>
      <c r="T101" s="1276">
        <f t="shared" si="72"/>
        <v>8816.9824293958009</v>
      </c>
      <c r="U101" s="1069">
        <f t="shared" si="73"/>
        <v>8887.5182888309664</v>
      </c>
      <c r="V101" s="1276">
        <f t="shared" si="74"/>
        <v>27499.207931872385</v>
      </c>
      <c r="W101" s="1275">
        <f t="shared" si="9"/>
        <v>0</v>
      </c>
      <c r="X101" s="1275">
        <f t="shared" si="9"/>
        <v>2424.9126593497799</v>
      </c>
      <c r="Y101" s="1275">
        <f t="shared" si="9"/>
        <v>29098.951912197361</v>
      </c>
      <c r="Z101" s="1278">
        <f t="shared" si="9"/>
        <v>29098.951912197361</v>
      </c>
      <c r="AA101" s="1284">
        <f t="shared" si="75"/>
        <v>0</v>
      </c>
      <c r="AB101" s="1284">
        <f t="shared" si="76"/>
        <v>2424.9126593497799</v>
      </c>
      <c r="AC101" s="1284">
        <f t="shared" si="77"/>
        <v>29389.941431319334</v>
      </c>
      <c r="AD101" s="1284">
        <f t="shared" si="78"/>
        <v>29625.06096276989</v>
      </c>
      <c r="AE101" s="1281"/>
      <c r="AF101" s="1275">
        <f t="shared" si="79"/>
        <v>0</v>
      </c>
      <c r="AG101" s="1275">
        <f t="shared" si="80"/>
        <v>870543.64470657113</v>
      </c>
      <c r="AH101" s="1275">
        <f t="shared" si="81"/>
        <v>849859.13972231746</v>
      </c>
      <c r="AI101" s="1278">
        <f t="shared" si="82"/>
        <v>827032.95187732612</v>
      </c>
      <c r="AJ101" s="1275">
        <f t="shared" si="83"/>
        <v>0</v>
      </c>
      <c r="AK101" s="1275">
        <f t="shared" si="84"/>
        <v>33764.483868786338</v>
      </c>
      <c r="AL101" s="1275">
        <f t="shared" si="85"/>
        <v>59984.87046132276</v>
      </c>
      <c r="AM101" s="1278">
        <f t="shared" si="86"/>
        <v>59398.247230353627</v>
      </c>
      <c r="AN101" s="1275">
        <f t="shared" si="87"/>
        <v>158302.17826260853</v>
      </c>
      <c r="AO101" s="1275">
        <f t="shared" si="88"/>
        <v>185801.38619448093</v>
      </c>
      <c r="AP101" s="1275">
        <f t="shared" si="89"/>
        <v>0</v>
      </c>
      <c r="AQ101" s="1275">
        <f t="shared" si="90"/>
        <v>0</v>
      </c>
      <c r="AR101" s="1275">
        <f t="shared" si="91"/>
        <v>0</v>
      </c>
      <c r="AS101" s="1275">
        <f t="shared" si="92"/>
        <v>185801.38619448093</v>
      </c>
    </row>
    <row r="102" spans="1:45" s="1279" customFormat="1">
      <c r="A102" s="682" t="s">
        <v>1151</v>
      </c>
      <c r="B102" s="683" t="s">
        <v>1142</v>
      </c>
      <c r="C102" s="684">
        <v>335492.81190999999</v>
      </c>
      <c r="D102" s="685">
        <v>42186</v>
      </c>
      <c r="E102" s="691">
        <v>17</v>
      </c>
      <c r="F102" s="282" t="s">
        <v>876</v>
      </c>
      <c r="G102" s="687"/>
      <c r="H102" s="1310" t="s">
        <v>638</v>
      </c>
      <c r="I102" s="1277">
        <f t="shared" si="20"/>
        <v>30</v>
      </c>
      <c r="J102" s="1280">
        <f t="shared" si="0"/>
        <v>0</v>
      </c>
      <c r="K102" s="1280">
        <f t="shared" si="1"/>
        <v>0</v>
      </c>
      <c r="L102" s="1280">
        <f t="shared" si="2"/>
        <v>1</v>
      </c>
      <c r="M102" s="1283">
        <f t="shared" si="3"/>
        <v>0</v>
      </c>
      <c r="N102" s="1283">
        <f t="shared" si="3"/>
        <v>0</v>
      </c>
      <c r="O102" s="1283">
        <f t="shared" si="3"/>
        <v>1</v>
      </c>
      <c r="P102" s="1283">
        <f t="shared" si="3"/>
        <v>1.008</v>
      </c>
      <c r="Q102" s="1282">
        <f t="shared" si="69"/>
        <v>3354.9281191</v>
      </c>
      <c r="R102" s="1276">
        <f t="shared" si="70"/>
        <v>0</v>
      </c>
      <c r="S102" s="1276">
        <f t="shared" si="71"/>
        <v>0</v>
      </c>
      <c r="T102" s="1276">
        <f t="shared" si="72"/>
        <v>3354.9281191</v>
      </c>
      <c r="U102" s="1069">
        <f t="shared" si="73"/>
        <v>3381.7675440528001</v>
      </c>
      <c r="V102" s="1276">
        <f t="shared" si="74"/>
        <v>6870.8927879167986</v>
      </c>
      <c r="W102" s="1275">
        <f t="shared" si="9"/>
        <v>0</v>
      </c>
      <c r="X102" s="1275">
        <f t="shared" si="9"/>
        <v>0</v>
      </c>
      <c r="Y102" s="1275">
        <f t="shared" si="9"/>
        <v>5591.5468651666661</v>
      </c>
      <c r="Z102" s="1278">
        <f t="shared" si="9"/>
        <v>11183.093730333332</v>
      </c>
      <c r="AA102" s="1284">
        <f t="shared" si="75"/>
        <v>0</v>
      </c>
      <c r="AB102" s="1284">
        <f t="shared" si="76"/>
        <v>0</v>
      </c>
      <c r="AC102" s="1284">
        <f t="shared" si="77"/>
        <v>5591.5468651666661</v>
      </c>
      <c r="AD102" s="1284">
        <f t="shared" si="78"/>
        <v>11272.558480176</v>
      </c>
      <c r="AE102" s="1281"/>
      <c r="AF102" s="1275">
        <f t="shared" si="79"/>
        <v>0</v>
      </c>
      <c r="AG102" s="1275">
        <f t="shared" si="80"/>
        <v>0</v>
      </c>
      <c r="AH102" s="1275">
        <f t="shared" si="81"/>
        <v>329901.2650448333</v>
      </c>
      <c r="AI102" s="1278">
        <f t="shared" si="82"/>
        <v>321267.91668501595</v>
      </c>
      <c r="AJ102" s="1275">
        <f t="shared" si="83"/>
        <v>0</v>
      </c>
      <c r="AK102" s="1275">
        <f t="shared" si="84"/>
        <v>0</v>
      </c>
      <c r="AL102" s="1275">
        <f t="shared" si="85"/>
        <v>17467.992406780664</v>
      </c>
      <c r="AM102" s="1278">
        <f t="shared" si="86"/>
        <v>22838.203480836572</v>
      </c>
      <c r="AN102" s="1275">
        <f t="shared" si="87"/>
        <v>41004.915583888454</v>
      </c>
      <c r="AO102" s="1275">
        <f t="shared" si="88"/>
        <v>47875.808371805251</v>
      </c>
      <c r="AP102" s="1275">
        <f t="shared" si="89"/>
        <v>0</v>
      </c>
      <c r="AQ102" s="1275">
        <f t="shared" si="90"/>
        <v>0</v>
      </c>
      <c r="AR102" s="1275">
        <f t="shared" si="91"/>
        <v>0</v>
      </c>
      <c r="AS102" s="1275">
        <f t="shared" si="92"/>
        <v>47875.808371805251</v>
      </c>
    </row>
    <row r="103" spans="1:45" s="216" customFormat="1">
      <c r="A103" s="688" t="s">
        <v>886</v>
      </c>
      <c r="B103" s="689" t="s">
        <v>887</v>
      </c>
      <c r="C103" s="684">
        <v>1362486.6436405669</v>
      </c>
      <c r="D103" s="690">
        <v>41639</v>
      </c>
      <c r="E103" s="691">
        <v>15</v>
      </c>
      <c r="F103" s="282" t="s">
        <v>876</v>
      </c>
      <c r="G103" s="687" t="s">
        <v>638</v>
      </c>
      <c r="H103" s="1060" t="s">
        <v>662</v>
      </c>
      <c r="I103" s="137">
        <f t="shared" si="20"/>
        <v>30</v>
      </c>
      <c r="J103" s="223">
        <f t="shared" si="0"/>
        <v>0.96699999999999997</v>
      </c>
      <c r="K103" s="223">
        <f t="shared" si="1"/>
        <v>3.3000000000000002E-2</v>
      </c>
      <c r="L103" s="223">
        <f t="shared" si="2"/>
        <v>0</v>
      </c>
      <c r="M103" s="445">
        <f t="shared" si="3"/>
        <v>1</v>
      </c>
      <c r="N103" s="445">
        <f t="shared" si="3"/>
        <v>1.028</v>
      </c>
      <c r="O103" s="445">
        <f t="shared" si="3"/>
        <v>1.0382800000000001</v>
      </c>
      <c r="P103" s="445">
        <f t="shared" si="3"/>
        <v>1.0465862400000001</v>
      </c>
      <c r="Q103" s="440">
        <f t="shared" si="45"/>
        <v>13624.866436405669</v>
      </c>
      <c r="R103" s="134">
        <f t="shared" si="46"/>
        <v>13624.866436405669</v>
      </c>
      <c r="S103" s="134">
        <f t="shared" si="47"/>
        <v>14006.362696625029</v>
      </c>
      <c r="T103" s="134">
        <f t="shared" si="48"/>
        <v>14146.42632359128</v>
      </c>
      <c r="U103" s="1069">
        <f t="shared" si="49"/>
        <v>14259.59773418001</v>
      </c>
      <c r="V103" s="134">
        <f t="shared" si="50"/>
        <v>14259.59773418001</v>
      </c>
      <c r="W103" s="100">
        <f t="shared" si="9"/>
        <v>3784.6851212237966</v>
      </c>
      <c r="X103" s="100">
        <f t="shared" si="9"/>
        <v>45416.221454685561</v>
      </c>
      <c r="Y103" s="100">
        <f t="shared" si="9"/>
        <v>45416.221454685561</v>
      </c>
      <c r="Z103" s="151">
        <f t="shared" si="9"/>
        <v>45416.221454685561</v>
      </c>
      <c r="AA103" s="448">
        <f t="shared" si="51"/>
        <v>3784.6851212237966</v>
      </c>
      <c r="AB103" s="448">
        <f t="shared" si="52"/>
        <v>46687.875655416756</v>
      </c>
      <c r="AC103" s="448">
        <f t="shared" si="53"/>
        <v>47154.754411970927</v>
      </c>
      <c r="AD103" s="448">
        <f t="shared" si="54"/>
        <v>47531.992447266697</v>
      </c>
      <c r="AE103" s="285"/>
      <c r="AF103" s="100">
        <f t="shared" si="55"/>
        <v>1358701.9585193431</v>
      </c>
      <c r="AG103" s="100">
        <f t="shared" si="56"/>
        <v>1350057.7377024679</v>
      </c>
      <c r="AH103" s="100">
        <f t="shared" si="57"/>
        <v>1316403.5606675218</v>
      </c>
      <c r="AI103" s="151">
        <f t="shared" si="58"/>
        <v>1279402.7967055955</v>
      </c>
      <c r="AJ103" s="100">
        <f t="shared" si="59"/>
        <v>82589.398715345698</v>
      </c>
      <c r="AK103" s="100">
        <f t="shared" si="60"/>
        <v>95289.954212705605</v>
      </c>
      <c r="AL103" s="100">
        <f t="shared" si="61"/>
        <v>94545.282596001707</v>
      </c>
      <c r="AM103" s="151">
        <f t="shared" si="62"/>
        <v>93590.493128668139</v>
      </c>
      <c r="AN103" s="100">
        <f t="shared" si="63"/>
        <v>93590.493128668139</v>
      </c>
      <c r="AO103" s="100">
        <f t="shared" si="64"/>
        <v>107850.09086284816</v>
      </c>
      <c r="AP103" s="100">
        <f t="shared" si="65"/>
        <v>104291.03786437416</v>
      </c>
      <c r="AQ103" s="100">
        <f t="shared" si="66"/>
        <v>0</v>
      </c>
      <c r="AR103" s="100">
        <f t="shared" si="67"/>
        <v>3559.0529984739892</v>
      </c>
      <c r="AS103" s="100">
        <f t="shared" si="68"/>
        <v>0</v>
      </c>
    </row>
    <row r="104" spans="1:45" s="216" customFormat="1">
      <c r="A104" s="688" t="s">
        <v>886</v>
      </c>
      <c r="B104" s="689" t="s">
        <v>883</v>
      </c>
      <c r="C104" s="684">
        <v>2617.7193086380448</v>
      </c>
      <c r="D104" s="690">
        <v>41639</v>
      </c>
      <c r="E104" s="691">
        <v>17</v>
      </c>
      <c r="F104" s="282" t="s">
        <v>876</v>
      </c>
      <c r="G104" s="687" t="s">
        <v>638</v>
      </c>
      <c r="H104" s="1060" t="s">
        <v>662</v>
      </c>
      <c r="I104" s="137">
        <f t="shared" si="20"/>
        <v>30</v>
      </c>
      <c r="J104" s="223">
        <f t="shared" si="0"/>
        <v>0</v>
      </c>
      <c r="K104" s="223">
        <f t="shared" si="1"/>
        <v>0</v>
      </c>
      <c r="L104" s="223">
        <f t="shared" si="2"/>
        <v>1</v>
      </c>
      <c r="M104" s="445">
        <f t="shared" si="3"/>
        <v>1</v>
      </c>
      <c r="N104" s="445">
        <f t="shared" si="3"/>
        <v>1.028</v>
      </c>
      <c r="O104" s="445">
        <f t="shared" si="3"/>
        <v>1.0382800000000001</v>
      </c>
      <c r="P104" s="445">
        <f t="shared" si="3"/>
        <v>1.0465862400000001</v>
      </c>
      <c r="Q104" s="440">
        <f t="shared" si="45"/>
        <v>26.177193086380449</v>
      </c>
      <c r="R104" s="134">
        <f t="shared" si="46"/>
        <v>26.177193086380449</v>
      </c>
      <c r="S104" s="134">
        <f t="shared" si="47"/>
        <v>26.910154492799101</v>
      </c>
      <c r="T104" s="134">
        <f t="shared" si="48"/>
        <v>27.179256037727093</v>
      </c>
      <c r="U104" s="1069">
        <f t="shared" si="49"/>
        <v>27.396690086028912</v>
      </c>
      <c r="V104" s="134">
        <f t="shared" si="50"/>
        <v>27.396690086028912</v>
      </c>
      <c r="W104" s="100">
        <f t="shared" si="9"/>
        <v>7.2714425239945681</v>
      </c>
      <c r="X104" s="100">
        <f t="shared" si="9"/>
        <v>87.257310287934828</v>
      </c>
      <c r="Y104" s="100">
        <f t="shared" si="9"/>
        <v>87.257310287934828</v>
      </c>
      <c r="Z104" s="151">
        <f t="shared" si="9"/>
        <v>87.257310287934828</v>
      </c>
      <c r="AA104" s="448">
        <f t="shared" si="51"/>
        <v>7.2714425239945681</v>
      </c>
      <c r="AB104" s="448">
        <f t="shared" si="52"/>
        <v>89.70051497599701</v>
      </c>
      <c r="AC104" s="448">
        <f t="shared" si="53"/>
        <v>90.597520125756986</v>
      </c>
      <c r="AD104" s="448">
        <f t="shared" si="54"/>
        <v>91.322300286763038</v>
      </c>
      <c r="AE104" s="285"/>
      <c r="AF104" s="100">
        <f t="shared" si="55"/>
        <v>2610.4478661140502</v>
      </c>
      <c r="AG104" s="100">
        <f t="shared" si="56"/>
        <v>2593.8398913892465</v>
      </c>
      <c r="AH104" s="100">
        <f t="shared" si="57"/>
        <v>2529.1807701773819</v>
      </c>
      <c r="AI104" s="151">
        <f t="shared" si="58"/>
        <v>2458.091916052038</v>
      </c>
      <c r="AJ104" s="100">
        <f t="shared" si="59"/>
        <v>158.67741875860949</v>
      </c>
      <c r="AK104" s="100">
        <f t="shared" si="60"/>
        <v>183.07875106600989</v>
      </c>
      <c r="AL104" s="100">
        <f t="shared" si="61"/>
        <v>181.64802785214272</v>
      </c>
      <c r="AM104" s="151">
        <f t="shared" si="62"/>
        <v>179.8136092646364</v>
      </c>
      <c r="AN104" s="100">
        <f t="shared" si="63"/>
        <v>179.8136092646364</v>
      </c>
      <c r="AO104" s="100">
        <f t="shared" si="64"/>
        <v>207.21029935066531</v>
      </c>
      <c r="AP104" s="100">
        <f t="shared" si="65"/>
        <v>0</v>
      </c>
      <c r="AQ104" s="100">
        <f t="shared" si="66"/>
        <v>0</v>
      </c>
      <c r="AR104" s="100">
        <f t="shared" si="67"/>
        <v>0</v>
      </c>
      <c r="AS104" s="100">
        <f t="shared" si="68"/>
        <v>207.21029935066531</v>
      </c>
    </row>
    <row r="105" spans="1:45" s="216" customFormat="1">
      <c r="A105" s="688" t="s">
        <v>886</v>
      </c>
      <c r="B105" s="689" t="s">
        <v>888</v>
      </c>
      <c r="C105" s="684">
        <v>1201195.3860887054</v>
      </c>
      <c r="D105" s="690">
        <v>41639</v>
      </c>
      <c r="E105" s="691">
        <v>21</v>
      </c>
      <c r="F105" s="282" t="s">
        <v>876</v>
      </c>
      <c r="G105" s="687" t="s">
        <v>638</v>
      </c>
      <c r="H105" s="1060" t="s">
        <v>662</v>
      </c>
      <c r="I105" s="137">
        <f t="shared" si="20"/>
        <v>55</v>
      </c>
      <c r="J105" s="223">
        <f t="shared" si="0"/>
        <v>0.96699999999999997</v>
      </c>
      <c r="K105" s="223">
        <f t="shared" si="1"/>
        <v>3.3000000000000002E-2</v>
      </c>
      <c r="L105" s="223">
        <f t="shared" si="2"/>
        <v>0</v>
      </c>
      <c r="M105" s="445">
        <f t="shared" si="3"/>
        <v>1</v>
      </c>
      <c r="N105" s="445">
        <f t="shared" si="3"/>
        <v>1.028</v>
      </c>
      <c r="O105" s="445">
        <f t="shared" si="3"/>
        <v>1.0382800000000001</v>
      </c>
      <c r="P105" s="445">
        <f t="shared" si="3"/>
        <v>1.0465862400000001</v>
      </c>
      <c r="Q105" s="440">
        <f t="shared" si="45"/>
        <v>12011.953860887053</v>
      </c>
      <c r="R105" s="134">
        <f t="shared" si="46"/>
        <v>12011.953860887053</v>
      </c>
      <c r="S105" s="134">
        <f t="shared" si="47"/>
        <v>12348.288568991891</v>
      </c>
      <c r="T105" s="134">
        <f t="shared" si="48"/>
        <v>12471.771454681812</v>
      </c>
      <c r="U105" s="1069">
        <f t="shared" si="49"/>
        <v>12571.545626319266</v>
      </c>
      <c r="V105" s="134">
        <f t="shared" si="50"/>
        <v>12571.545626319266</v>
      </c>
      <c r="W105" s="100">
        <f t="shared" si="9"/>
        <v>1819.9930092253112</v>
      </c>
      <c r="X105" s="100">
        <f t="shared" si="9"/>
        <v>21839.916110703733</v>
      </c>
      <c r="Y105" s="100">
        <f t="shared" si="9"/>
        <v>21839.916110703733</v>
      </c>
      <c r="Z105" s="151">
        <f t="shared" si="9"/>
        <v>21839.916110703733</v>
      </c>
      <c r="AA105" s="448">
        <f t="shared" si="51"/>
        <v>1819.9930092253112</v>
      </c>
      <c r="AB105" s="448">
        <f t="shared" si="52"/>
        <v>22451.433761803437</v>
      </c>
      <c r="AC105" s="448">
        <f t="shared" si="53"/>
        <v>22675.948099421472</v>
      </c>
      <c r="AD105" s="448">
        <f t="shared" si="54"/>
        <v>22857.355684216847</v>
      </c>
      <c r="AE105" s="285"/>
      <c r="AF105" s="100">
        <f t="shared" si="55"/>
        <v>1199375.3930794802</v>
      </c>
      <c r="AG105" s="100">
        <f t="shared" si="56"/>
        <v>1210506.4703239021</v>
      </c>
      <c r="AH105" s="100">
        <f t="shared" si="57"/>
        <v>1199935.5869277196</v>
      </c>
      <c r="AI105" s="151">
        <f t="shared" si="58"/>
        <v>1186677.7159389246</v>
      </c>
      <c r="AJ105" s="100">
        <f t="shared" si="59"/>
        <v>71383.765807835152</v>
      </c>
      <c r="AK105" s="100">
        <f t="shared" si="60"/>
        <v>66029.666693463907</v>
      </c>
      <c r="AL105" s="100">
        <f t="shared" si="61"/>
        <v>65873.62922881938</v>
      </c>
      <c r="AM105" s="151">
        <f t="shared" si="62"/>
        <v>65577.753458018124</v>
      </c>
      <c r="AN105" s="100">
        <f t="shared" si="63"/>
        <v>65577.753458018124</v>
      </c>
      <c r="AO105" s="100">
        <f t="shared" si="64"/>
        <v>78149.299084337385</v>
      </c>
      <c r="AP105" s="100">
        <f t="shared" si="65"/>
        <v>75570.372214554242</v>
      </c>
      <c r="AQ105" s="100">
        <f t="shared" si="66"/>
        <v>0</v>
      </c>
      <c r="AR105" s="100">
        <f t="shared" si="67"/>
        <v>2578.926869783134</v>
      </c>
      <c r="AS105" s="100">
        <f t="shared" si="68"/>
        <v>0</v>
      </c>
    </row>
    <row r="106" spans="1:45" s="216" customFormat="1">
      <c r="A106" s="688" t="s">
        <v>886</v>
      </c>
      <c r="B106" s="689" t="s">
        <v>889</v>
      </c>
      <c r="C106" s="684">
        <v>74715.244170324149</v>
      </c>
      <c r="D106" s="690">
        <v>41639</v>
      </c>
      <c r="E106" s="691">
        <v>32</v>
      </c>
      <c r="F106" s="282" t="s">
        <v>876</v>
      </c>
      <c r="G106" s="687" t="s">
        <v>638</v>
      </c>
      <c r="H106" s="1060" t="s">
        <v>662</v>
      </c>
      <c r="I106" s="137">
        <f t="shared" si="20"/>
        <v>30</v>
      </c>
      <c r="J106" s="223">
        <f t="shared" si="0"/>
        <v>0.96699999999999997</v>
      </c>
      <c r="K106" s="223">
        <f t="shared" si="1"/>
        <v>3.3000000000000002E-2</v>
      </c>
      <c r="L106" s="223">
        <f t="shared" si="2"/>
        <v>0</v>
      </c>
      <c r="M106" s="445">
        <f t="shared" si="3"/>
        <v>1</v>
      </c>
      <c r="N106" s="445">
        <f t="shared" si="3"/>
        <v>1.028</v>
      </c>
      <c r="O106" s="445">
        <f t="shared" si="3"/>
        <v>1.0382800000000001</v>
      </c>
      <c r="P106" s="445">
        <f t="shared" si="3"/>
        <v>1.0465862400000001</v>
      </c>
      <c r="Q106" s="440">
        <f t="shared" si="45"/>
        <v>747.15244170324149</v>
      </c>
      <c r="R106" s="134">
        <f t="shared" si="46"/>
        <v>747.15244170324149</v>
      </c>
      <c r="S106" s="134">
        <f t="shared" si="47"/>
        <v>768.07271007093232</v>
      </c>
      <c r="T106" s="134">
        <f t="shared" si="48"/>
        <v>775.75343717164162</v>
      </c>
      <c r="U106" s="1069">
        <f t="shared" si="49"/>
        <v>781.95946466901478</v>
      </c>
      <c r="V106" s="134">
        <f t="shared" si="50"/>
        <v>781.95946466901478</v>
      </c>
      <c r="W106" s="100">
        <f t="shared" si="9"/>
        <v>207.54234491756705</v>
      </c>
      <c r="X106" s="100">
        <f t="shared" si="9"/>
        <v>2490.5081390108048</v>
      </c>
      <c r="Y106" s="100">
        <f t="shared" si="9"/>
        <v>2490.5081390108048</v>
      </c>
      <c r="Z106" s="151">
        <f t="shared" si="9"/>
        <v>2490.5081390108048</v>
      </c>
      <c r="AA106" s="448">
        <f t="shared" si="51"/>
        <v>207.54234491756705</v>
      </c>
      <c r="AB106" s="448">
        <f t="shared" si="52"/>
        <v>2560.2423669031073</v>
      </c>
      <c r="AC106" s="448">
        <f t="shared" si="53"/>
        <v>2585.8447905721387</v>
      </c>
      <c r="AD106" s="448">
        <f t="shared" si="54"/>
        <v>2606.5315488967158</v>
      </c>
      <c r="AE106" s="285"/>
      <c r="AF106" s="100">
        <f t="shared" si="55"/>
        <v>74507.701825406577</v>
      </c>
      <c r="AG106" s="100">
        <f t="shared" si="56"/>
        <v>74033.675109614851</v>
      </c>
      <c r="AH106" s="100">
        <f t="shared" si="57"/>
        <v>72188.167070138865</v>
      </c>
      <c r="AI106" s="151">
        <f t="shared" si="58"/>
        <v>70159.140857803257</v>
      </c>
      <c r="AJ106" s="100">
        <f t="shared" si="59"/>
        <v>4528.9890507911487</v>
      </c>
      <c r="AK106" s="100">
        <f t="shared" si="60"/>
        <v>5225.4546708492417</v>
      </c>
      <c r="AL106" s="100">
        <f t="shared" si="61"/>
        <v>5184.6188050971377</v>
      </c>
      <c r="AM106" s="151">
        <f t="shared" si="62"/>
        <v>5132.2606197776331</v>
      </c>
      <c r="AN106" s="100">
        <f t="shared" si="63"/>
        <v>5132.2606197776331</v>
      </c>
      <c r="AO106" s="100">
        <f t="shared" si="64"/>
        <v>5914.2200844466479</v>
      </c>
      <c r="AP106" s="100">
        <f t="shared" si="65"/>
        <v>5719.0508216599083</v>
      </c>
      <c r="AQ106" s="100">
        <f t="shared" si="66"/>
        <v>0</v>
      </c>
      <c r="AR106" s="100">
        <f t="shared" si="67"/>
        <v>195.16926278673938</v>
      </c>
      <c r="AS106" s="100">
        <f t="shared" si="68"/>
        <v>0</v>
      </c>
    </row>
    <row r="107" spans="1:45" s="216" customFormat="1">
      <c r="A107" s="688" t="s">
        <v>886</v>
      </c>
      <c r="B107" s="689" t="s">
        <v>887</v>
      </c>
      <c r="C107" s="684">
        <v>180527.81828160002</v>
      </c>
      <c r="D107" s="690">
        <v>41821</v>
      </c>
      <c r="E107" s="691">
        <v>15</v>
      </c>
      <c r="F107" s="282" t="s">
        <v>876</v>
      </c>
      <c r="G107" s="687"/>
      <c r="H107" s="1060" t="s">
        <v>662</v>
      </c>
      <c r="I107" s="137">
        <f t="shared" si="20"/>
        <v>30</v>
      </c>
      <c r="J107" s="223">
        <f t="shared" si="0"/>
        <v>0.96699999999999997</v>
      </c>
      <c r="K107" s="223">
        <f t="shared" si="1"/>
        <v>3.3000000000000002E-2</v>
      </c>
      <c r="L107" s="223">
        <f t="shared" si="2"/>
        <v>0</v>
      </c>
      <c r="M107" s="445">
        <f t="shared" si="3"/>
        <v>0</v>
      </c>
      <c r="N107" s="445">
        <f t="shared" si="3"/>
        <v>1</v>
      </c>
      <c r="O107" s="445">
        <f t="shared" si="3"/>
        <v>1.01</v>
      </c>
      <c r="P107" s="445">
        <f t="shared" si="3"/>
        <v>1.0180800000000001</v>
      </c>
      <c r="Q107" s="440">
        <f t="shared" si="45"/>
        <v>1805.2781828160003</v>
      </c>
      <c r="R107" s="134">
        <f t="shared" si="46"/>
        <v>0</v>
      </c>
      <c r="S107" s="134">
        <f t="shared" si="47"/>
        <v>1805.2781828160003</v>
      </c>
      <c r="T107" s="134">
        <f t="shared" si="48"/>
        <v>1823.3309646441603</v>
      </c>
      <c r="U107" s="1069">
        <f t="shared" si="49"/>
        <v>1837.9176123613138</v>
      </c>
      <c r="V107" s="134">
        <f t="shared" si="50"/>
        <v>1837.9176123613138</v>
      </c>
      <c r="W107" s="100">
        <f t="shared" si="9"/>
        <v>0</v>
      </c>
      <c r="X107" s="100">
        <f t="shared" si="9"/>
        <v>3008.7969713600005</v>
      </c>
      <c r="Y107" s="100">
        <f t="shared" si="9"/>
        <v>6017.593942720001</v>
      </c>
      <c r="Z107" s="151">
        <f t="shared" si="9"/>
        <v>6017.593942720001</v>
      </c>
      <c r="AA107" s="448">
        <f t="shared" si="51"/>
        <v>0</v>
      </c>
      <c r="AB107" s="448">
        <f t="shared" si="52"/>
        <v>3008.7969713600005</v>
      </c>
      <c r="AC107" s="448">
        <f t="shared" si="53"/>
        <v>6077.7698821472013</v>
      </c>
      <c r="AD107" s="448">
        <f t="shared" si="54"/>
        <v>6126.392041204379</v>
      </c>
      <c r="AE107" s="285"/>
      <c r="AF107" s="100">
        <f t="shared" si="55"/>
        <v>0</v>
      </c>
      <c r="AG107" s="100">
        <f t="shared" si="56"/>
        <v>177519.02131024003</v>
      </c>
      <c r="AH107" s="100">
        <f t="shared" si="57"/>
        <v>173216.44164119524</v>
      </c>
      <c r="AI107" s="151">
        <f t="shared" si="58"/>
        <v>168475.78113312041</v>
      </c>
      <c r="AJ107" s="100">
        <f t="shared" si="59"/>
        <v>0</v>
      </c>
      <c r="AK107" s="100">
        <f t="shared" si="60"/>
        <v>9399.4817385286406</v>
      </c>
      <c r="AL107" s="100">
        <f t="shared" si="61"/>
        <v>12313.56178123023</v>
      </c>
      <c r="AM107" s="151">
        <f t="shared" si="62"/>
        <v>12191.520161996714</v>
      </c>
      <c r="AN107" s="100">
        <f t="shared" si="63"/>
        <v>12191.520161996714</v>
      </c>
      <c r="AO107" s="100">
        <f t="shared" si="64"/>
        <v>14029.437774358028</v>
      </c>
      <c r="AP107" s="100">
        <f t="shared" si="65"/>
        <v>0</v>
      </c>
      <c r="AQ107" s="100">
        <f t="shared" si="66"/>
        <v>13566.466327804214</v>
      </c>
      <c r="AR107" s="100">
        <f t="shared" si="67"/>
        <v>462.97144655381493</v>
      </c>
      <c r="AS107" s="100">
        <f t="shared" si="68"/>
        <v>0</v>
      </c>
    </row>
    <row r="108" spans="1:45" s="216" customFormat="1">
      <c r="A108" s="688" t="s">
        <v>886</v>
      </c>
      <c r="B108" s="689" t="s">
        <v>883</v>
      </c>
      <c r="C108" s="684">
        <v>-3571.1501780799999</v>
      </c>
      <c r="D108" s="690">
        <v>41821</v>
      </c>
      <c r="E108" s="691">
        <v>17</v>
      </c>
      <c r="F108" s="282" t="s">
        <v>876</v>
      </c>
      <c r="G108" s="687"/>
      <c r="H108" s="1060" t="s">
        <v>662</v>
      </c>
      <c r="I108" s="137">
        <f t="shared" si="20"/>
        <v>30</v>
      </c>
      <c r="J108" s="223">
        <f t="shared" si="0"/>
        <v>0</v>
      </c>
      <c r="K108" s="223">
        <f t="shared" si="1"/>
        <v>0</v>
      </c>
      <c r="L108" s="223">
        <f t="shared" si="2"/>
        <v>1</v>
      </c>
      <c r="M108" s="445">
        <f t="shared" si="3"/>
        <v>0</v>
      </c>
      <c r="N108" s="445">
        <f t="shared" si="3"/>
        <v>1</v>
      </c>
      <c r="O108" s="445">
        <f t="shared" si="3"/>
        <v>1.01</v>
      </c>
      <c r="P108" s="445">
        <f t="shared" si="3"/>
        <v>1.0180800000000001</v>
      </c>
      <c r="Q108" s="440">
        <f t="shared" si="45"/>
        <v>-35.711501780799999</v>
      </c>
      <c r="R108" s="134">
        <f t="shared" si="46"/>
        <v>0</v>
      </c>
      <c r="S108" s="134">
        <f t="shared" si="47"/>
        <v>-35.711501780799999</v>
      </c>
      <c r="T108" s="134">
        <f t="shared" si="48"/>
        <v>-36.068616798607998</v>
      </c>
      <c r="U108" s="1069">
        <f t="shared" si="49"/>
        <v>-36.357165732996869</v>
      </c>
      <c r="V108" s="134">
        <f t="shared" si="50"/>
        <v>-36.357165732996869</v>
      </c>
      <c r="W108" s="100">
        <f t="shared" si="9"/>
        <v>0</v>
      </c>
      <c r="X108" s="100">
        <f t="shared" si="9"/>
        <v>-59.519169634666667</v>
      </c>
      <c r="Y108" s="100">
        <f t="shared" si="9"/>
        <v>-119.03833926933333</v>
      </c>
      <c r="Z108" s="151">
        <f t="shared" si="9"/>
        <v>-119.03833926933333</v>
      </c>
      <c r="AA108" s="448">
        <f t="shared" si="51"/>
        <v>0</v>
      </c>
      <c r="AB108" s="448">
        <f t="shared" si="52"/>
        <v>-59.519169634666667</v>
      </c>
      <c r="AC108" s="448">
        <f t="shared" si="53"/>
        <v>-120.22872266202667</v>
      </c>
      <c r="AD108" s="448">
        <f t="shared" si="54"/>
        <v>-121.19055244332289</v>
      </c>
      <c r="AE108" s="285"/>
      <c r="AF108" s="100">
        <f t="shared" si="55"/>
        <v>0</v>
      </c>
      <c r="AG108" s="100">
        <f t="shared" si="56"/>
        <v>-3511.6310084453335</v>
      </c>
      <c r="AH108" s="100">
        <f t="shared" si="57"/>
        <v>-3426.5185958677603</v>
      </c>
      <c r="AI108" s="151">
        <f t="shared" si="58"/>
        <v>-3332.7401921913797</v>
      </c>
      <c r="AJ108" s="100">
        <f t="shared" si="59"/>
        <v>0</v>
      </c>
      <c r="AK108" s="100">
        <f t="shared" si="60"/>
        <v>-185.93788593869866</v>
      </c>
      <c r="AL108" s="100">
        <f t="shared" si="61"/>
        <v>-243.58339211326603</v>
      </c>
      <c r="AM108" s="151">
        <f t="shared" si="62"/>
        <v>-241.16919936221257</v>
      </c>
      <c r="AN108" s="100">
        <f t="shared" si="63"/>
        <v>-241.16919936221257</v>
      </c>
      <c r="AO108" s="100">
        <f t="shared" si="64"/>
        <v>-277.52636509520943</v>
      </c>
      <c r="AP108" s="100">
        <f t="shared" si="65"/>
        <v>0</v>
      </c>
      <c r="AQ108" s="100">
        <f t="shared" si="66"/>
        <v>0</v>
      </c>
      <c r="AR108" s="100">
        <f t="shared" si="67"/>
        <v>0</v>
      </c>
      <c r="AS108" s="100">
        <f t="shared" si="68"/>
        <v>-277.52636509520943</v>
      </c>
    </row>
    <row r="109" spans="1:45" s="216" customFormat="1">
      <c r="A109" s="688" t="s">
        <v>886</v>
      </c>
      <c r="B109" s="689" t="s">
        <v>888</v>
      </c>
      <c r="C109" s="684">
        <v>337708.29360275989</v>
      </c>
      <c r="D109" s="690">
        <v>41821</v>
      </c>
      <c r="E109" s="691">
        <v>21</v>
      </c>
      <c r="F109" s="282" t="s">
        <v>876</v>
      </c>
      <c r="G109" s="687"/>
      <c r="H109" s="1060" t="s">
        <v>662</v>
      </c>
      <c r="I109" s="137">
        <f t="shared" si="20"/>
        <v>55</v>
      </c>
      <c r="J109" s="223">
        <f t="shared" si="0"/>
        <v>0.96699999999999997</v>
      </c>
      <c r="K109" s="223">
        <f t="shared" si="1"/>
        <v>3.3000000000000002E-2</v>
      </c>
      <c r="L109" s="223">
        <f t="shared" si="2"/>
        <v>0</v>
      </c>
      <c r="M109" s="445">
        <f t="shared" si="3"/>
        <v>0</v>
      </c>
      <c r="N109" s="445">
        <f t="shared" si="3"/>
        <v>1</v>
      </c>
      <c r="O109" s="445">
        <f t="shared" si="3"/>
        <v>1.01</v>
      </c>
      <c r="P109" s="445">
        <f t="shared" si="3"/>
        <v>1.0180800000000001</v>
      </c>
      <c r="Q109" s="440">
        <f t="shared" si="45"/>
        <v>3377.0829360275989</v>
      </c>
      <c r="R109" s="134">
        <f t="shared" si="46"/>
        <v>0</v>
      </c>
      <c r="S109" s="134">
        <f t="shared" si="47"/>
        <v>3377.0829360275989</v>
      </c>
      <c r="T109" s="134">
        <f t="shared" si="48"/>
        <v>3410.8537653878748</v>
      </c>
      <c r="U109" s="1069">
        <f t="shared" si="49"/>
        <v>3438.1405955109781</v>
      </c>
      <c r="V109" s="134">
        <f>IF(H109="nee",U109,IF(G109="ja",S109*(1+$C$16)+T109*(1+$D$16)+U109,R109*(1+$B$16)+S109*(1+$C$16)+T109*(1+$D$16)+U109))</f>
        <v>3438.1405955109781</v>
      </c>
      <c r="W109" s="100">
        <f t="shared" si="9"/>
        <v>0</v>
      </c>
      <c r="X109" s="100">
        <f t="shared" si="9"/>
        <v>3070.0753963887264</v>
      </c>
      <c r="Y109" s="100">
        <f t="shared" si="9"/>
        <v>6140.1507927774528</v>
      </c>
      <c r="Z109" s="151">
        <f t="shared" si="9"/>
        <v>6140.1507927774528</v>
      </c>
      <c r="AA109" s="448">
        <f t="shared" si="51"/>
        <v>0</v>
      </c>
      <c r="AB109" s="448">
        <f t="shared" si="52"/>
        <v>3070.0753963887264</v>
      </c>
      <c r="AC109" s="448">
        <f t="shared" si="53"/>
        <v>6201.552300705227</v>
      </c>
      <c r="AD109" s="448">
        <f t="shared" si="54"/>
        <v>6251.1647191108696</v>
      </c>
      <c r="AE109" s="285"/>
      <c r="AF109" s="100">
        <f t="shared" si="55"/>
        <v>0</v>
      </c>
      <c r="AG109" s="100">
        <f t="shared" si="56"/>
        <v>334638.21820637118</v>
      </c>
      <c r="AH109" s="100">
        <f t="shared" si="57"/>
        <v>331783.04808772966</v>
      </c>
      <c r="AI109" s="151">
        <f t="shared" si="58"/>
        <v>328186.14775332063</v>
      </c>
      <c r="AJ109" s="100">
        <f>AF109*$B$4+AA109</f>
        <v>0</v>
      </c>
      <c r="AK109" s="100">
        <f>AG109*$B$5+AB109</f>
        <v>15117.051251818088</v>
      </c>
      <c r="AL109" s="100">
        <f t="shared" si="61"/>
        <v>18145.742031863494</v>
      </c>
      <c r="AM109" s="151">
        <f t="shared" si="62"/>
        <v>18065.866038230412</v>
      </c>
      <c r="AN109" s="100">
        <f>IF(H109="nee",AM109,IF(G109="ja",AK109*(1+$C$16)+AL109*(1+$D$16)+AM109, AJ109*(1+$B$16)+AK109*(1+$C$16)+AL109*(1+$D$16)+AM109))</f>
        <v>18065.866038230412</v>
      </c>
      <c r="AO109" s="100">
        <f>AN109+V109</f>
        <v>21504.006633741388</v>
      </c>
      <c r="AP109" s="100">
        <f>IF(YEAR(D109)&lt;2014,$AO109*J109,0)</f>
        <v>0</v>
      </c>
      <c r="AQ109" s="100">
        <f>IF(YEAR(D109)&gt;2013,$AO109*J109,0)</f>
        <v>20794.374414827922</v>
      </c>
      <c r="AR109" s="100">
        <f>$AO109*K109</f>
        <v>709.63221891346586</v>
      </c>
      <c r="AS109" s="100">
        <f t="shared" si="68"/>
        <v>0</v>
      </c>
    </row>
    <row r="110" spans="1:45" s="216" customFormat="1">
      <c r="A110" s="688" t="s">
        <v>886</v>
      </c>
      <c r="B110" s="689" t="s">
        <v>889</v>
      </c>
      <c r="C110" s="684">
        <v>242890.94542571995</v>
      </c>
      <c r="D110" s="690">
        <v>41821</v>
      </c>
      <c r="E110" s="691">
        <v>32</v>
      </c>
      <c r="F110" s="282" t="s">
        <v>876</v>
      </c>
      <c r="G110" s="687"/>
      <c r="H110" s="1060" t="s">
        <v>662</v>
      </c>
      <c r="I110" s="137">
        <f t="shared" si="20"/>
        <v>30</v>
      </c>
      <c r="J110" s="223">
        <f t="shared" si="0"/>
        <v>0.96699999999999997</v>
      </c>
      <c r="K110" s="223">
        <f t="shared" si="1"/>
        <v>3.3000000000000002E-2</v>
      </c>
      <c r="L110" s="223">
        <f t="shared" si="2"/>
        <v>0</v>
      </c>
      <c r="M110" s="445">
        <f t="shared" si="3"/>
        <v>0</v>
      </c>
      <c r="N110" s="445">
        <f t="shared" si="3"/>
        <v>1</v>
      </c>
      <c r="O110" s="445">
        <f t="shared" si="3"/>
        <v>1.01</v>
      </c>
      <c r="P110" s="445">
        <f t="shared" si="3"/>
        <v>1.0180800000000001</v>
      </c>
      <c r="Q110" s="440">
        <f t="shared" si="45"/>
        <v>2428.9094542571997</v>
      </c>
      <c r="R110" s="134">
        <f t="shared" si="46"/>
        <v>0</v>
      </c>
      <c r="S110" s="134">
        <f t="shared" si="47"/>
        <v>2428.9094542571997</v>
      </c>
      <c r="T110" s="134">
        <f t="shared" si="48"/>
        <v>2453.1985487997717</v>
      </c>
      <c r="U110" s="1069">
        <f t="shared" si="49"/>
        <v>2472.8241371901699</v>
      </c>
      <c r="V110" s="134">
        <f t="shared" ref="V110:V128" si="93">IF(H110="nee",U110,IF(G110="ja",S110*(1+$C$16)+T110*(1+$D$16)+U110,R110*(1+$B$16)+S110*(1+$C$16)+T110*(1+$D$16)+U110))</f>
        <v>2472.8241371901699</v>
      </c>
      <c r="W110" s="100">
        <f t="shared" si="9"/>
        <v>0</v>
      </c>
      <c r="X110" s="100">
        <f t="shared" si="9"/>
        <v>4048.1824237619994</v>
      </c>
      <c r="Y110" s="100">
        <f t="shared" si="9"/>
        <v>8096.3648475239988</v>
      </c>
      <c r="Z110" s="151">
        <f t="shared" si="9"/>
        <v>8096.3648475239988</v>
      </c>
      <c r="AA110" s="448">
        <f t="shared" si="51"/>
        <v>0</v>
      </c>
      <c r="AB110" s="448">
        <f t="shared" si="52"/>
        <v>4048.1824237619994</v>
      </c>
      <c r="AC110" s="448">
        <f t="shared" si="53"/>
        <v>8177.3284959992388</v>
      </c>
      <c r="AD110" s="448">
        <f t="shared" si="54"/>
        <v>8242.7471239672341</v>
      </c>
      <c r="AE110" s="285"/>
      <c r="AF110" s="100">
        <f t="shared" si="55"/>
        <v>0</v>
      </c>
      <c r="AG110" s="100">
        <f t="shared" si="56"/>
        <v>238842.76300195797</v>
      </c>
      <c r="AH110" s="100">
        <f t="shared" si="57"/>
        <v>233053.8621359783</v>
      </c>
      <c r="AI110" s="151">
        <f t="shared" si="58"/>
        <v>226675.54590909887</v>
      </c>
      <c r="AJ110" s="100">
        <f t="shared" ref="AJ110:AJ128" si="94">AF110*$B$4+AA110</f>
        <v>0</v>
      </c>
      <c r="AK110" s="100">
        <f t="shared" ref="AK110:AK128" si="95">AG110*$B$5+AB110</f>
        <v>12646.521891832486</v>
      </c>
      <c r="AL110" s="100">
        <f t="shared" si="61"/>
        <v>16567.267532894457</v>
      </c>
      <c r="AM110" s="151">
        <f t="shared" si="62"/>
        <v>16403.066776694792</v>
      </c>
      <c r="AN110" s="100">
        <f t="shared" ref="AN110:AN128" si="96">IF(H110="nee",AM110,IF(G110="ja",AK110*(1+$C$16)+AL110*(1+$D$16)+AM110, AJ110*(1+$B$16)+AK110*(1+$C$16)+AL110*(1+$D$16)+AM110))</f>
        <v>16403.066776694792</v>
      </c>
      <c r="AO110" s="100">
        <f t="shared" ref="AO110:AO128" si="97">AN110+V110</f>
        <v>18875.890913884963</v>
      </c>
      <c r="AP110" s="100">
        <f t="shared" ref="AP110:AP128" si="98">IF(YEAR(D110)&lt;2014,$AO110*J110,0)</f>
        <v>0</v>
      </c>
      <c r="AQ110" s="100">
        <f t="shared" ref="AQ110:AQ128" si="99">IF(YEAR(D110)&gt;2013,$AO110*J110,0)</f>
        <v>18252.986513726759</v>
      </c>
      <c r="AR110" s="100">
        <f t="shared" ref="AR110:AR128" si="100">$AO110*K110</f>
        <v>622.90440015820377</v>
      </c>
      <c r="AS110" s="100">
        <f t="shared" si="68"/>
        <v>0</v>
      </c>
    </row>
    <row r="111" spans="1:45" s="216" customFormat="1">
      <c r="A111" s="688" t="s">
        <v>886</v>
      </c>
      <c r="B111" s="689" t="s">
        <v>639</v>
      </c>
      <c r="C111" s="684">
        <v>1374.674945325</v>
      </c>
      <c r="D111" s="690">
        <v>41456</v>
      </c>
      <c r="E111" s="691">
        <v>2</v>
      </c>
      <c r="F111" s="282" t="s">
        <v>876</v>
      </c>
      <c r="G111" s="687" t="s">
        <v>638</v>
      </c>
      <c r="H111" s="1060" t="s">
        <v>662</v>
      </c>
      <c r="I111" s="137">
        <f t="shared" si="20"/>
        <v>30</v>
      </c>
      <c r="J111" s="223">
        <f t="shared" si="0"/>
        <v>0.96699999999999997</v>
      </c>
      <c r="K111" s="223">
        <f t="shared" si="1"/>
        <v>3.3000000000000002E-2</v>
      </c>
      <c r="L111" s="223">
        <f t="shared" si="2"/>
        <v>0</v>
      </c>
      <c r="M111" s="445">
        <f t="shared" ref="M111:P128" si="101">IF(YEAR($D111)&gt;M$58,0,HLOOKUP(M$58,$C$9:$F$13, YEAR($D111)-2011,FALSE))</f>
        <v>1</v>
      </c>
      <c r="N111" s="445">
        <f t="shared" si="101"/>
        <v>1.028</v>
      </c>
      <c r="O111" s="445">
        <f t="shared" si="101"/>
        <v>1.0382800000000001</v>
      </c>
      <c r="P111" s="445">
        <f t="shared" si="101"/>
        <v>1.0465862400000001</v>
      </c>
      <c r="Q111" s="440">
        <f t="shared" si="45"/>
        <v>13.746749453250001</v>
      </c>
      <c r="R111" s="134">
        <f t="shared" si="46"/>
        <v>13.746749453250001</v>
      </c>
      <c r="S111" s="134">
        <f t="shared" si="47"/>
        <v>14.131658437941001</v>
      </c>
      <c r="T111" s="134">
        <f t="shared" si="48"/>
        <v>14.272975022320411</v>
      </c>
      <c r="U111" s="1069">
        <f t="shared" si="49"/>
        <v>14.387158822498975</v>
      </c>
      <c r="V111" s="134">
        <f t="shared" si="93"/>
        <v>14.387158822498975</v>
      </c>
      <c r="W111" s="100">
        <f t="shared" ref="W111:Z128" si="102">IF(YEAR($D111)&lt;W$58,$C111/$I111,IF(YEAR($D111)=W$58,(13-MONTH($D111))/12*$C111/$I111,0))</f>
        <v>22.911249088750001</v>
      </c>
      <c r="X111" s="100">
        <f t="shared" si="102"/>
        <v>45.822498177500002</v>
      </c>
      <c r="Y111" s="100">
        <f t="shared" si="102"/>
        <v>45.822498177500002</v>
      </c>
      <c r="Z111" s="151">
        <f t="shared" si="102"/>
        <v>45.822498177500002</v>
      </c>
      <c r="AA111" s="448">
        <f t="shared" si="51"/>
        <v>22.911249088750001</v>
      </c>
      <c r="AB111" s="448">
        <f t="shared" si="52"/>
        <v>47.105528126470006</v>
      </c>
      <c r="AC111" s="448">
        <f t="shared" si="53"/>
        <v>47.576583407734709</v>
      </c>
      <c r="AD111" s="448">
        <f t="shared" si="54"/>
        <v>47.957196074996581</v>
      </c>
      <c r="AE111" s="285"/>
      <c r="AF111" s="100">
        <f t="shared" si="55"/>
        <v>1351.7636962362499</v>
      </c>
      <c r="AG111" s="100">
        <f t="shared" si="56"/>
        <v>1342.5075516043948</v>
      </c>
      <c r="AH111" s="100">
        <f t="shared" si="57"/>
        <v>1308.3560437127041</v>
      </c>
      <c r="AI111" s="151">
        <f t="shared" si="58"/>
        <v>1270.8656959874093</v>
      </c>
      <c r="AJ111" s="100">
        <f t="shared" si="94"/>
        <v>101.31354347045249</v>
      </c>
      <c r="AK111" s="100">
        <f t="shared" si="95"/>
        <v>95.435799984228225</v>
      </c>
      <c r="AL111" s="100">
        <f t="shared" si="61"/>
        <v>94.677400981392054</v>
      </c>
      <c r="AM111" s="151">
        <f t="shared" si="62"/>
        <v>93.70836113054331</v>
      </c>
      <c r="AN111" s="100">
        <f t="shared" si="96"/>
        <v>93.70836113054331</v>
      </c>
      <c r="AO111" s="100">
        <f t="shared" si="97"/>
        <v>108.09551995304228</v>
      </c>
      <c r="AP111" s="100">
        <f t="shared" si="98"/>
        <v>104.52836779459189</v>
      </c>
      <c r="AQ111" s="100">
        <f t="shared" si="99"/>
        <v>0</v>
      </c>
      <c r="AR111" s="100">
        <f t="shared" si="100"/>
        <v>3.5671521584503956</v>
      </c>
      <c r="AS111" s="100">
        <f t="shared" si="68"/>
        <v>0</v>
      </c>
    </row>
    <row r="112" spans="1:45" s="216" customFormat="1">
      <c r="A112" s="688" t="s">
        <v>886</v>
      </c>
      <c r="B112" s="689" t="s">
        <v>631</v>
      </c>
      <c r="C112" s="684">
        <v>238070.56390234499</v>
      </c>
      <c r="D112" s="690">
        <v>41456</v>
      </c>
      <c r="E112" s="691">
        <v>15</v>
      </c>
      <c r="F112" s="282" t="s">
        <v>876</v>
      </c>
      <c r="G112" s="687" t="s">
        <v>638</v>
      </c>
      <c r="H112" s="1060" t="s">
        <v>662</v>
      </c>
      <c r="I112" s="137">
        <f t="shared" si="20"/>
        <v>30</v>
      </c>
      <c r="J112" s="223">
        <f t="shared" si="0"/>
        <v>0.96699999999999997</v>
      </c>
      <c r="K112" s="223">
        <f t="shared" si="1"/>
        <v>3.3000000000000002E-2</v>
      </c>
      <c r="L112" s="223">
        <f t="shared" si="2"/>
        <v>0</v>
      </c>
      <c r="M112" s="445">
        <f t="shared" si="101"/>
        <v>1</v>
      </c>
      <c r="N112" s="445">
        <f t="shared" si="101"/>
        <v>1.028</v>
      </c>
      <c r="O112" s="445">
        <f t="shared" si="101"/>
        <v>1.0382800000000001</v>
      </c>
      <c r="P112" s="445">
        <f t="shared" si="101"/>
        <v>1.0465862400000001</v>
      </c>
      <c r="Q112" s="440">
        <f t="shared" si="45"/>
        <v>2380.7056390234497</v>
      </c>
      <c r="R112" s="134">
        <f t="shared" si="46"/>
        <v>2380.7056390234497</v>
      </c>
      <c r="S112" s="134">
        <f t="shared" si="47"/>
        <v>2447.3653969161064</v>
      </c>
      <c r="T112" s="134">
        <f t="shared" si="48"/>
        <v>2471.8390508852676</v>
      </c>
      <c r="U112" s="1069">
        <f t="shared" si="49"/>
        <v>2491.6137632923496</v>
      </c>
      <c r="V112" s="134">
        <f t="shared" si="93"/>
        <v>2491.6137632923496</v>
      </c>
      <c r="W112" s="100">
        <f t="shared" si="102"/>
        <v>3967.8427317057499</v>
      </c>
      <c r="X112" s="100">
        <f t="shared" si="102"/>
        <v>7935.6854634114998</v>
      </c>
      <c r="Y112" s="100">
        <f t="shared" si="102"/>
        <v>7935.6854634114998</v>
      </c>
      <c r="Z112" s="151">
        <f t="shared" si="102"/>
        <v>7935.6854634114998</v>
      </c>
      <c r="AA112" s="448">
        <f t="shared" si="51"/>
        <v>3967.8427317057499</v>
      </c>
      <c r="AB112" s="448">
        <f t="shared" si="52"/>
        <v>8157.884656387022</v>
      </c>
      <c r="AC112" s="448">
        <f t="shared" si="53"/>
        <v>8239.4635029508936</v>
      </c>
      <c r="AD112" s="448">
        <f t="shared" si="54"/>
        <v>8305.3792109745009</v>
      </c>
      <c r="AE112" s="285"/>
      <c r="AF112" s="100">
        <f t="shared" si="55"/>
        <v>234102.72117063924</v>
      </c>
      <c r="AG112" s="100">
        <f t="shared" si="56"/>
        <v>232499.71270703012</v>
      </c>
      <c r="AH112" s="100">
        <f t="shared" si="57"/>
        <v>226585.24633114954</v>
      </c>
      <c r="AI112" s="151">
        <f t="shared" si="58"/>
        <v>220092.54909082424</v>
      </c>
      <c r="AJ112" s="100">
        <f t="shared" si="94"/>
        <v>17545.800559602827</v>
      </c>
      <c r="AK112" s="100">
        <f t="shared" si="95"/>
        <v>16527.874313840104</v>
      </c>
      <c r="AL112" s="100">
        <f t="shared" si="61"/>
        <v>16396.532370872275</v>
      </c>
      <c r="AM112" s="151">
        <f t="shared" si="62"/>
        <v>16228.710978244173</v>
      </c>
      <c r="AN112" s="100">
        <f t="shared" si="96"/>
        <v>16228.710978244173</v>
      </c>
      <c r="AO112" s="100">
        <f t="shared" si="97"/>
        <v>18720.324741536522</v>
      </c>
      <c r="AP112" s="100">
        <f t="shared" si="98"/>
        <v>18102.554025065816</v>
      </c>
      <c r="AQ112" s="100">
        <f t="shared" si="99"/>
        <v>0</v>
      </c>
      <c r="AR112" s="100">
        <f t="shared" si="100"/>
        <v>617.77071647070522</v>
      </c>
      <c r="AS112" s="100">
        <f t="shared" si="68"/>
        <v>0</v>
      </c>
    </row>
    <row r="113" spans="1:45" s="216" customFormat="1">
      <c r="A113" s="688" t="s">
        <v>886</v>
      </c>
      <c r="B113" s="689" t="s">
        <v>641</v>
      </c>
      <c r="C113" s="684">
        <v>-18500.127310335003</v>
      </c>
      <c r="D113" s="690">
        <v>41456</v>
      </c>
      <c r="E113" s="691">
        <v>17</v>
      </c>
      <c r="F113" s="282" t="s">
        <v>876</v>
      </c>
      <c r="G113" s="687" t="s">
        <v>638</v>
      </c>
      <c r="H113" s="1060" t="s">
        <v>662</v>
      </c>
      <c r="I113" s="137">
        <f t="shared" si="20"/>
        <v>30</v>
      </c>
      <c r="J113" s="223">
        <f t="shared" si="0"/>
        <v>0</v>
      </c>
      <c r="K113" s="223">
        <f t="shared" si="1"/>
        <v>0</v>
      </c>
      <c r="L113" s="223">
        <f t="shared" si="2"/>
        <v>1</v>
      </c>
      <c r="M113" s="445">
        <f t="shared" si="101"/>
        <v>1</v>
      </c>
      <c r="N113" s="445">
        <f t="shared" si="101"/>
        <v>1.028</v>
      </c>
      <c r="O113" s="445">
        <f t="shared" si="101"/>
        <v>1.0382800000000001</v>
      </c>
      <c r="P113" s="445">
        <f t="shared" si="101"/>
        <v>1.0465862400000001</v>
      </c>
      <c r="Q113" s="440">
        <f t="shared" si="45"/>
        <v>-185.00127310335003</v>
      </c>
      <c r="R113" s="134">
        <f t="shared" si="46"/>
        <v>-185.00127310335003</v>
      </c>
      <c r="S113" s="134">
        <f t="shared" si="47"/>
        <v>-190.18130875024383</v>
      </c>
      <c r="T113" s="134">
        <f t="shared" si="48"/>
        <v>-192.08312183774629</v>
      </c>
      <c r="U113" s="1069">
        <f t="shared" si="49"/>
        <v>-193.61978681244827</v>
      </c>
      <c r="V113" s="134">
        <f t="shared" si="93"/>
        <v>-193.61978681244827</v>
      </c>
      <c r="W113" s="100">
        <f t="shared" si="102"/>
        <v>-308.33545517225008</v>
      </c>
      <c r="X113" s="100">
        <f t="shared" si="102"/>
        <v>-616.67091034450016</v>
      </c>
      <c r="Y113" s="100">
        <f t="shared" si="102"/>
        <v>-616.67091034450016</v>
      </c>
      <c r="Z113" s="151">
        <f t="shared" si="102"/>
        <v>-616.67091034450016</v>
      </c>
      <c r="AA113" s="448">
        <f t="shared" si="51"/>
        <v>-308.33545517225008</v>
      </c>
      <c r="AB113" s="448">
        <f t="shared" si="52"/>
        <v>-633.93769583414621</v>
      </c>
      <c r="AC113" s="448">
        <f t="shared" si="53"/>
        <v>-640.27707279248773</v>
      </c>
      <c r="AD113" s="448">
        <f t="shared" si="54"/>
        <v>-645.39928937482762</v>
      </c>
      <c r="AE113" s="285"/>
      <c r="AF113" s="100">
        <f t="shared" si="55"/>
        <v>-18191.791855162752</v>
      </c>
      <c r="AG113" s="100">
        <f t="shared" si="56"/>
        <v>-18067.224331273163</v>
      </c>
      <c r="AH113" s="100">
        <f t="shared" si="57"/>
        <v>-17607.619501793408</v>
      </c>
      <c r="AI113" s="151">
        <f t="shared" si="58"/>
        <v>-17103.081168432927</v>
      </c>
      <c r="AJ113" s="100">
        <f t="shared" si="94"/>
        <v>-1363.4593827716897</v>
      </c>
      <c r="AK113" s="100">
        <f t="shared" si="95"/>
        <v>-1284.3577717599801</v>
      </c>
      <c r="AL113" s="100">
        <f t="shared" si="61"/>
        <v>-1274.1513748570503</v>
      </c>
      <c r="AM113" s="151">
        <f t="shared" si="62"/>
        <v>-1261.110211438413</v>
      </c>
      <c r="AN113" s="100">
        <f t="shared" si="96"/>
        <v>-1261.110211438413</v>
      </c>
      <c r="AO113" s="100">
        <f t="shared" si="97"/>
        <v>-1454.7299982508612</v>
      </c>
      <c r="AP113" s="100">
        <f t="shared" si="98"/>
        <v>0</v>
      </c>
      <c r="AQ113" s="100">
        <f t="shared" si="99"/>
        <v>0</v>
      </c>
      <c r="AR113" s="100">
        <f t="shared" si="100"/>
        <v>0</v>
      </c>
      <c r="AS113" s="100">
        <f t="shared" si="68"/>
        <v>-1454.7299982508612</v>
      </c>
    </row>
    <row r="114" spans="1:45" s="216" customFormat="1">
      <c r="A114" s="688" t="s">
        <v>886</v>
      </c>
      <c r="B114" s="689" t="s">
        <v>637</v>
      </c>
      <c r="C114" s="684">
        <v>697304.67482852994</v>
      </c>
      <c r="D114" s="690">
        <v>41456</v>
      </c>
      <c r="E114" s="691">
        <v>21</v>
      </c>
      <c r="F114" s="282" t="s">
        <v>876</v>
      </c>
      <c r="G114" s="687" t="s">
        <v>638</v>
      </c>
      <c r="H114" s="1060" t="s">
        <v>662</v>
      </c>
      <c r="I114" s="137">
        <f t="shared" si="20"/>
        <v>55</v>
      </c>
      <c r="J114" s="223">
        <f t="shared" si="0"/>
        <v>0.96699999999999997</v>
      </c>
      <c r="K114" s="223">
        <f t="shared" si="1"/>
        <v>3.3000000000000002E-2</v>
      </c>
      <c r="L114" s="223">
        <f t="shared" si="2"/>
        <v>0</v>
      </c>
      <c r="M114" s="445">
        <f t="shared" si="101"/>
        <v>1</v>
      </c>
      <c r="N114" s="445">
        <f t="shared" si="101"/>
        <v>1.028</v>
      </c>
      <c r="O114" s="445">
        <f t="shared" si="101"/>
        <v>1.0382800000000001</v>
      </c>
      <c r="P114" s="445">
        <f t="shared" si="101"/>
        <v>1.0465862400000001</v>
      </c>
      <c r="Q114" s="440">
        <f t="shared" si="45"/>
        <v>6973.0467482852991</v>
      </c>
      <c r="R114" s="134">
        <f t="shared" si="46"/>
        <v>6973.0467482852991</v>
      </c>
      <c r="S114" s="134">
        <f t="shared" si="47"/>
        <v>7168.2920572372877</v>
      </c>
      <c r="T114" s="134">
        <f t="shared" si="48"/>
        <v>7239.9749778096611</v>
      </c>
      <c r="U114" s="1069">
        <f t="shared" si="49"/>
        <v>7297.8947776321384</v>
      </c>
      <c r="V114" s="134">
        <f t="shared" si="93"/>
        <v>7297.8947776321384</v>
      </c>
      <c r="W114" s="100">
        <f t="shared" si="102"/>
        <v>6339.1334075320901</v>
      </c>
      <c r="X114" s="100">
        <f t="shared" si="102"/>
        <v>12678.26681506418</v>
      </c>
      <c r="Y114" s="100">
        <f t="shared" si="102"/>
        <v>12678.26681506418</v>
      </c>
      <c r="Z114" s="151">
        <f t="shared" si="102"/>
        <v>12678.26681506418</v>
      </c>
      <c r="AA114" s="448">
        <f t="shared" si="51"/>
        <v>6339.1334075320901</v>
      </c>
      <c r="AB114" s="448">
        <f t="shared" si="52"/>
        <v>13033.258285885977</v>
      </c>
      <c r="AC114" s="448">
        <f t="shared" si="53"/>
        <v>13163.590868744839</v>
      </c>
      <c r="AD114" s="448">
        <f t="shared" si="54"/>
        <v>13268.899595694797</v>
      </c>
      <c r="AE114" s="285"/>
      <c r="AF114" s="100">
        <f t="shared" si="55"/>
        <v>690965.54142099782</v>
      </c>
      <c r="AG114" s="100">
        <f t="shared" si="56"/>
        <v>697279.31829489977</v>
      </c>
      <c r="AH114" s="100">
        <f t="shared" si="57"/>
        <v>691088.52060910384</v>
      </c>
      <c r="AI114" s="151">
        <f t="shared" si="58"/>
        <v>683348.32917828183</v>
      </c>
      <c r="AJ114" s="100">
        <f t="shared" si="94"/>
        <v>46415.134809949966</v>
      </c>
      <c r="AK114" s="100">
        <f t="shared" si="95"/>
        <v>38135.313744502368</v>
      </c>
      <c r="AL114" s="100">
        <f t="shared" si="61"/>
        <v>38042.77761067258</v>
      </c>
      <c r="AM114" s="151">
        <f t="shared" si="62"/>
        <v>37869.439446112941</v>
      </c>
      <c r="AN114" s="100">
        <f t="shared" si="96"/>
        <v>37869.439446112941</v>
      </c>
      <c r="AO114" s="100">
        <f t="shared" si="97"/>
        <v>45167.334223745078</v>
      </c>
      <c r="AP114" s="100">
        <f t="shared" si="98"/>
        <v>43676.81219436149</v>
      </c>
      <c r="AQ114" s="100">
        <f t="shared" si="99"/>
        <v>0</v>
      </c>
      <c r="AR114" s="100">
        <f t="shared" si="100"/>
        <v>1490.5220293835876</v>
      </c>
      <c r="AS114" s="100">
        <f t="shared" si="68"/>
        <v>0</v>
      </c>
    </row>
    <row r="115" spans="1:45" s="216" customFormat="1">
      <c r="A115" s="688" t="s">
        <v>886</v>
      </c>
      <c r="B115" s="689" t="s">
        <v>635</v>
      </c>
      <c r="C115" s="684">
        <v>38182.855751295006</v>
      </c>
      <c r="D115" s="690">
        <v>41456</v>
      </c>
      <c r="E115" s="691">
        <v>32</v>
      </c>
      <c r="F115" s="282" t="s">
        <v>876</v>
      </c>
      <c r="G115" s="687" t="s">
        <v>638</v>
      </c>
      <c r="H115" s="1060" t="s">
        <v>662</v>
      </c>
      <c r="I115" s="137">
        <f t="shared" si="20"/>
        <v>30</v>
      </c>
      <c r="J115" s="223">
        <f t="shared" si="0"/>
        <v>0.96699999999999997</v>
      </c>
      <c r="K115" s="223">
        <f t="shared" si="1"/>
        <v>3.3000000000000002E-2</v>
      </c>
      <c r="L115" s="223">
        <f t="shared" si="2"/>
        <v>0</v>
      </c>
      <c r="M115" s="445">
        <f t="shared" si="101"/>
        <v>1</v>
      </c>
      <c r="N115" s="445">
        <f t="shared" si="101"/>
        <v>1.028</v>
      </c>
      <c r="O115" s="445">
        <f t="shared" si="101"/>
        <v>1.0382800000000001</v>
      </c>
      <c r="P115" s="445">
        <f t="shared" si="101"/>
        <v>1.0465862400000001</v>
      </c>
      <c r="Q115" s="440">
        <f t="shared" si="45"/>
        <v>381.82855751295006</v>
      </c>
      <c r="R115" s="134">
        <f t="shared" si="46"/>
        <v>381.82855751295006</v>
      </c>
      <c r="S115" s="134">
        <f t="shared" si="47"/>
        <v>392.51975712331267</v>
      </c>
      <c r="T115" s="134">
        <f t="shared" si="48"/>
        <v>396.4449546945458</v>
      </c>
      <c r="U115" s="1069">
        <f t="shared" si="49"/>
        <v>399.61651433210221</v>
      </c>
      <c r="V115" s="134">
        <f t="shared" si="93"/>
        <v>399.61651433210221</v>
      </c>
      <c r="W115" s="100">
        <f t="shared" si="102"/>
        <v>636.38092918825009</v>
      </c>
      <c r="X115" s="100">
        <f t="shared" si="102"/>
        <v>1272.7618583765002</v>
      </c>
      <c r="Y115" s="100">
        <f t="shared" si="102"/>
        <v>1272.7618583765002</v>
      </c>
      <c r="Z115" s="151">
        <f t="shared" si="102"/>
        <v>1272.7618583765002</v>
      </c>
      <c r="AA115" s="448">
        <f t="shared" si="51"/>
        <v>636.38092918825009</v>
      </c>
      <c r="AB115" s="448">
        <f t="shared" si="52"/>
        <v>1308.3991904110421</v>
      </c>
      <c r="AC115" s="448">
        <f t="shared" si="53"/>
        <v>1321.4831823151528</v>
      </c>
      <c r="AD115" s="448">
        <f t="shared" si="54"/>
        <v>1332.055047773674</v>
      </c>
      <c r="AE115" s="285"/>
      <c r="AF115" s="100">
        <f t="shared" si="55"/>
        <v>37546.474822106757</v>
      </c>
      <c r="AG115" s="100">
        <f t="shared" si="56"/>
        <v>37289.3769267147</v>
      </c>
      <c r="AH115" s="100">
        <f t="shared" si="57"/>
        <v>36340.787513666692</v>
      </c>
      <c r="AI115" s="151">
        <f t="shared" si="58"/>
        <v>35299.458766002346</v>
      </c>
      <c r="AJ115" s="100">
        <f t="shared" si="94"/>
        <v>2814.0764688704421</v>
      </c>
      <c r="AK115" s="100">
        <f t="shared" si="95"/>
        <v>2650.8167597727715</v>
      </c>
      <c r="AL115" s="100">
        <f t="shared" si="61"/>
        <v>2629.7515328071536</v>
      </c>
      <c r="AM115" s="151">
        <f t="shared" si="62"/>
        <v>2602.8355633497586</v>
      </c>
      <c r="AN115" s="100">
        <f t="shared" si="96"/>
        <v>2602.8355633497586</v>
      </c>
      <c r="AO115" s="100">
        <f t="shared" si="97"/>
        <v>3002.4520776818608</v>
      </c>
      <c r="AP115" s="100">
        <f t="shared" si="98"/>
        <v>2903.3711591183592</v>
      </c>
      <c r="AQ115" s="100">
        <f t="shared" si="99"/>
        <v>0</v>
      </c>
      <c r="AR115" s="100">
        <f t="shared" si="100"/>
        <v>99.080918563501413</v>
      </c>
      <c r="AS115" s="100">
        <f t="shared" si="68"/>
        <v>0</v>
      </c>
    </row>
    <row r="116" spans="1:45" s="216" customFormat="1">
      <c r="A116" s="682" t="s">
        <v>886</v>
      </c>
      <c r="B116" s="683" t="s">
        <v>1130</v>
      </c>
      <c r="C116" s="684">
        <v>-28100.384052000001</v>
      </c>
      <c r="D116" s="685">
        <v>42004</v>
      </c>
      <c r="E116" s="691">
        <v>15</v>
      </c>
      <c r="F116" s="282" t="s">
        <v>876</v>
      </c>
      <c r="G116" s="687"/>
      <c r="H116" s="1310" t="s">
        <v>638</v>
      </c>
      <c r="I116" s="137">
        <f t="shared" si="20"/>
        <v>30</v>
      </c>
      <c r="J116" s="223">
        <f t="shared" si="0"/>
        <v>0.96699999999999997</v>
      </c>
      <c r="K116" s="223">
        <f t="shared" si="1"/>
        <v>3.3000000000000002E-2</v>
      </c>
      <c r="L116" s="223">
        <f t="shared" si="2"/>
        <v>0</v>
      </c>
      <c r="M116" s="445">
        <f t="shared" si="101"/>
        <v>0</v>
      </c>
      <c r="N116" s="445">
        <f t="shared" si="101"/>
        <v>1</v>
      </c>
      <c r="O116" s="445">
        <f t="shared" si="101"/>
        <v>1.01</v>
      </c>
      <c r="P116" s="445">
        <f t="shared" si="101"/>
        <v>1.0180800000000001</v>
      </c>
      <c r="Q116" s="440">
        <f t="shared" si="45"/>
        <v>-281.00384052000004</v>
      </c>
      <c r="R116" s="134">
        <f t="shared" si="46"/>
        <v>0</v>
      </c>
      <c r="S116" s="134">
        <f t="shared" si="47"/>
        <v>-281.00384052000004</v>
      </c>
      <c r="T116" s="134">
        <f t="shared" si="48"/>
        <v>-283.81387892520002</v>
      </c>
      <c r="U116" s="1069">
        <f t="shared" si="49"/>
        <v>-286.08438995660168</v>
      </c>
      <c r="V116" s="134">
        <f t="shared" si="93"/>
        <v>-885.18457794524147</v>
      </c>
      <c r="W116" s="100">
        <f t="shared" si="102"/>
        <v>0</v>
      </c>
      <c r="X116" s="100">
        <f t="shared" si="102"/>
        <v>-78.056622366666673</v>
      </c>
      <c r="Y116" s="100">
        <f t="shared" si="102"/>
        <v>-936.67946840000002</v>
      </c>
      <c r="Z116" s="151">
        <f t="shared" si="102"/>
        <v>-936.67946840000002</v>
      </c>
      <c r="AA116" s="448">
        <f t="shared" si="51"/>
        <v>0</v>
      </c>
      <c r="AB116" s="448">
        <f t="shared" si="52"/>
        <v>-78.056622366666673</v>
      </c>
      <c r="AC116" s="448">
        <f t="shared" si="53"/>
        <v>-946.04626308399997</v>
      </c>
      <c r="AD116" s="448">
        <f t="shared" si="54"/>
        <v>-953.61463318867209</v>
      </c>
      <c r="AE116" s="285"/>
      <c r="AF116" s="100">
        <f t="shared" si="55"/>
        <v>0</v>
      </c>
      <c r="AG116" s="100">
        <f t="shared" si="56"/>
        <v>-28022.327429633333</v>
      </c>
      <c r="AH116" s="100">
        <f t="shared" si="57"/>
        <v>-27356.504440845667</v>
      </c>
      <c r="AI116" s="151">
        <f t="shared" si="58"/>
        <v>-26621.741843183758</v>
      </c>
      <c r="AJ116" s="100">
        <f t="shared" si="94"/>
        <v>0</v>
      </c>
      <c r="AK116" s="100">
        <f t="shared" si="95"/>
        <v>-1086.8604098334665</v>
      </c>
      <c r="AL116" s="100">
        <f t="shared" si="61"/>
        <v>-1930.8804229544439</v>
      </c>
      <c r="AM116" s="151">
        <f t="shared" si="62"/>
        <v>-1911.9973395432871</v>
      </c>
      <c r="AN116" s="100">
        <f t="shared" si="96"/>
        <v>-5095.6611986917851</v>
      </c>
      <c r="AO116" s="100">
        <f t="shared" si="97"/>
        <v>-5980.8457766370266</v>
      </c>
      <c r="AP116" s="100">
        <f t="shared" si="98"/>
        <v>0</v>
      </c>
      <c r="AQ116" s="100">
        <f t="shared" si="99"/>
        <v>-5783.4778660080046</v>
      </c>
      <c r="AR116" s="100">
        <f t="shared" si="100"/>
        <v>-197.36791062902188</v>
      </c>
      <c r="AS116" s="100">
        <f t="shared" si="68"/>
        <v>0</v>
      </c>
    </row>
    <row r="117" spans="1:45" s="216" customFormat="1">
      <c r="A117" s="682" t="s">
        <v>886</v>
      </c>
      <c r="B117" s="683" t="s">
        <v>1140</v>
      </c>
      <c r="C117" s="684">
        <v>-2208.3155959999999</v>
      </c>
      <c r="D117" s="685">
        <v>42004</v>
      </c>
      <c r="E117" s="691">
        <v>17</v>
      </c>
      <c r="F117" s="282" t="s">
        <v>876</v>
      </c>
      <c r="G117" s="687"/>
      <c r="H117" s="1310" t="s">
        <v>638</v>
      </c>
      <c r="I117" s="137">
        <f t="shared" si="20"/>
        <v>30</v>
      </c>
      <c r="J117" s="223">
        <f t="shared" si="0"/>
        <v>0</v>
      </c>
      <c r="K117" s="223">
        <f t="shared" si="1"/>
        <v>0</v>
      </c>
      <c r="L117" s="223">
        <f t="shared" si="2"/>
        <v>1</v>
      </c>
      <c r="M117" s="445">
        <f t="shared" si="101"/>
        <v>0</v>
      </c>
      <c r="N117" s="445">
        <f t="shared" si="101"/>
        <v>1</v>
      </c>
      <c r="O117" s="445">
        <f t="shared" si="101"/>
        <v>1.01</v>
      </c>
      <c r="P117" s="445">
        <f t="shared" si="101"/>
        <v>1.0180800000000001</v>
      </c>
      <c r="Q117" s="440">
        <f t="shared" si="45"/>
        <v>-22.083155959999999</v>
      </c>
      <c r="R117" s="134">
        <f t="shared" si="46"/>
        <v>0</v>
      </c>
      <c r="S117" s="134">
        <f t="shared" si="47"/>
        <v>-22.083155959999999</v>
      </c>
      <c r="T117" s="134">
        <f t="shared" si="48"/>
        <v>-22.3039875196</v>
      </c>
      <c r="U117" s="1069">
        <f t="shared" si="49"/>
        <v>-22.482419419756802</v>
      </c>
      <c r="V117" s="134">
        <f t="shared" si="93"/>
        <v>-69.563707926476781</v>
      </c>
      <c r="W117" s="100">
        <f t="shared" si="102"/>
        <v>0</v>
      </c>
      <c r="X117" s="100">
        <f t="shared" si="102"/>
        <v>-6.1342099888888884</v>
      </c>
      <c r="Y117" s="100">
        <f t="shared" si="102"/>
        <v>-73.610519866666664</v>
      </c>
      <c r="Z117" s="151">
        <f t="shared" si="102"/>
        <v>-73.610519866666664</v>
      </c>
      <c r="AA117" s="448">
        <f t="shared" si="51"/>
        <v>0</v>
      </c>
      <c r="AB117" s="448">
        <f t="shared" si="52"/>
        <v>-6.1342099888888884</v>
      </c>
      <c r="AC117" s="448">
        <f t="shared" si="53"/>
        <v>-74.346625065333328</v>
      </c>
      <c r="AD117" s="448">
        <f t="shared" si="54"/>
        <v>-74.941398065856006</v>
      </c>
      <c r="AE117" s="285"/>
      <c r="AF117" s="100">
        <f t="shared" si="55"/>
        <v>0</v>
      </c>
      <c r="AG117" s="100">
        <f t="shared" si="56"/>
        <v>-2202.181386011111</v>
      </c>
      <c r="AH117" s="100">
        <f t="shared" si="57"/>
        <v>-2149.8565748058891</v>
      </c>
      <c r="AI117" s="151">
        <f t="shared" si="58"/>
        <v>-2092.1140293384801</v>
      </c>
      <c r="AJ117" s="100">
        <f t="shared" si="94"/>
        <v>0</v>
      </c>
      <c r="AK117" s="100">
        <f t="shared" si="95"/>
        <v>-85.412739885288872</v>
      </c>
      <c r="AL117" s="100">
        <f t="shared" si="61"/>
        <v>-151.74146175834534</v>
      </c>
      <c r="AM117" s="151">
        <f t="shared" si="62"/>
        <v>-150.25750312204127</v>
      </c>
      <c r="AN117" s="100">
        <f t="shared" si="96"/>
        <v>-400.45104281064874</v>
      </c>
      <c r="AO117" s="100">
        <f t="shared" si="97"/>
        <v>-470.0147507371255</v>
      </c>
      <c r="AP117" s="100">
        <f t="shared" si="98"/>
        <v>0</v>
      </c>
      <c r="AQ117" s="100">
        <f t="shared" si="99"/>
        <v>0</v>
      </c>
      <c r="AR117" s="100">
        <f t="shared" si="100"/>
        <v>0</v>
      </c>
      <c r="AS117" s="100">
        <f t="shared" si="68"/>
        <v>-470.0147507371255</v>
      </c>
    </row>
    <row r="118" spans="1:45" s="216" customFormat="1">
      <c r="A118" s="682" t="s">
        <v>886</v>
      </c>
      <c r="B118" s="683" t="s">
        <v>1141</v>
      </c>
      <c r="C118" s="684">
        <v>979775.66696399997</v>
      </c>
      <c r="D118" s="685">
        <v>42004</v>
      </c>
      <c r="E118" s="691">
        <v>21</v>
      </c>
      <c r="F118" s="282" t="s">
        <v>876</v>
      </c>
      <c r="G118" s="687"/>
      <c r="H118" s="1310" t="s">
        <v>638</v>
      </c>
      <c r="I118" s="137">
        <f t="shared" si="20"/>
        <v>55</v>
      </c>
      <c r="J118" s="223">
        <f t="shared" si="0"/>
        <v>0.96699999999999997</v>
      </c>
      <c r="K118" s="223">
        <f t="shared" si="1"/>
        <v>3.3000000000000002E-2</v>
      </c>
      <c r="L118" s="223">
        <f t="shared" si="2"/>
        <v>0</v>
      </c>
      <c r="M118" s="445">
        <f t="shared" si="101"/>
        <v>0</v>
      </c>
      <c r="N118" s="445">
        <f t="shared" si="101"/>
        <v>1</v>
      </c>
      <c r="O118" s="445">
        <f t="shared" si="101"/>
        <v>1.01</v>
      </c>
      <c r="P118" s="445">
        <f t="shared" si="101"/>
        <v>1.0180800000000001</v>
      </c>
      <c r="Q118" s="440">
        <f t="shared" si="45"/>
        <v>9797.7566696400008</v>
      </c>
      <c r="R118" s="134">
        <f t="shared" si="46"/>
        <v>0</v>
      </c>
      <c r="S118" s="134">
        <f t="shared" si="47"/>
        <v>9797.7566696400008</v>
      </c>
      <c r="T118" s="134">
        <f t="shared" si="48"/>
        <v>9895.7342363364005</v>
      </c>
      <c r="U118" s="1069">
        <f t="shared" si="49"/>
        <v>9974.9001102270922</v>
      </c>
      <c r="V118" s="134">
        <f t="shared" si="93"/>
        <v>30863.717329899562</v>
      </c>
      <c r="W118" s="100">
        <f t="shared" si="102"/>
        <v>0</v>
      </c>
      <c r="X118" s="100">
        <f t="shared" si="102"/>
        <v>1484.5085863090908</v>
      </c>
      <c r="Y118" s="100">
        <f t="shared" si="102"/>
        <v>17814.103035709089</v>
      </c>
      <c r="Z118" s="151">
        <f t="shared" si="102"/>
        <v>17814.103035709089</v>
      </c>
      <c r="AA118" s="448">
        <f t="shared" si="51"/>
        <v>0</v>
      </c>
      <c r="AB118" s="448">
        <f t="shared" si="52"/>
        <v>1484.5085863090908</v>
      </c>
      <c r="AC118" s="448">
        <f t="shared" si="53"/>
        <v>17992.244066066181</v>
      </c>
      <c r="AD118" s="448">
        <f t="shared" si="54"/>
        <v>18136.182018594711</v>
      </c>
      <c r="AE118" s="285"/>
      <c r="AF118" s="100">
        <f t="shared" si="55"/>
        <v>0</v>
      </c>
      <c r="AG118" s="100">
        <f t="shared" si="56"/>
        <v>978291.15837769094</v>
      </c>
      <c r="AH118" s="100">
        <f t="shared" si="57"/>
        <v>970081.82589540165</v>
      </c>
      <c r="AI118" s="151">
        <f t="shared" si="58"/>
        <v>959706.29848397023</v>
      </c>
      <c r="AJ118" s="100">
        <f t="shared" si="94"/>
        <v>0</v>
      </c>
      <c r="AK118" s="100">
        <f t="shared" si="95"/>
        <v>36702.990287905966</v>
      </c>
      <c r="AL118" s="100">
        <f t="shared" si="61"/>
        <v>52915.189798300635</v>
      </c>
      <c r="AM118" s="151">
        <f t="shared" si="62"/>
        <v>52685.608764017641</v>
      </c>
      <c r="AN118" s="100">
        <f t="shared" si="96"/>
        <v>147415.36044964934</v>
      </c>
      <c r="AO118" s="100">
        <f t="shared" si="97"/>
        <v>178279.07777954888</v>
      </c>
      <c r="AP118" s="100">
        <f t="shared" si="98"/>
        <v>0</v>
      </c>
      <c r="AQ118" s="100">
        <f t="shared" si="99"/>
        <v>172395.86821282376</v>
      </c>
      <c r="AR118" s="100">
        <f t="shared" si="100"/>
        <v>5883.2095667251133</v>
      </c>
      <c r="AS118" s="100">
        <f t="shared" si="68"/>
        <v>0</v>
      </c>
    </row>
    <row r="119" spans="1:45" s="216" customFormat="1">
      <c r="A119" s="682" t="s">
        <v>886</v>
      </c>
      <c r="B119" s="683" t="s">
        <v>1131</v>
      </c>
      <c r="C119" s="684">
        <v>-6832.2621959999997</v>
      </c>
      <c r="D119" s="685">
        <v>42004</v>
      </c>
      <c r="E119" s="691">
        <v>32</v>
      </c>
      <c r="F119" s="282" t="s">
        <v>876</v>
      </c>
      <c r="G119" s="687"/>
      <c r="H119" s="1310" t="s">
        <v>638</v>
      </c>
      <c r="I119" s="137">
        <f t="shared" si="20"/>
        <v>30</v>
      </c>
      <c r="J119" s="223">
        <f t="shared" si="0"/>
        <v>0.96699999999999997</v>
      </c>
      <c r="K119" s="223">
        <f t="shared" si="1"/>
        <v>3.3000000000000002E-2</v>
      </c>
      <c r="L119" s="223">
        <f t="shared" si="2"/>
        <v>0</v>
      </c>
      <c r="M119" s="445">
        <f t="shared" si="101"/>
        <v>0</v>
      </c>
      <c r="N119" s="445">
        <f t="shared" si="101"/>
        <v>1</v>
      </c>
      <c r="O119" s="445">
        <f t="shared" si="101"/>
        <v>1.01</v>
      </c>
      <c r="P119" s="445">
        <f t="shared" si="101"/>
        <v>1.0180800000000001</v>
      </c>
      <c r="Q119" s="440">
        <f t="shared" si="45"/>
        <v>-68.322621959999992</v>
      </c>
      <c r="R119" s="134">
        <f t="shared" si="46"/>
        <v>0</v>
      </c>
      <c r="S119" s="134">
        <f t="shared" si="47"/>
        <v>-68.322621959999992</v>
      </c>
      <c r="T119" s="134">
        <f t="shared" si="48"/>
        <v>-69.005848179599994</v>
      </c>
      <c r="U119" s="1069">
        <f t="shared" si="49"/>
        <v>-69.557894965036795</v>
      </c>
      <c r="V119" s="134">
        <f t="shared" si="93"/>
        <v>-215.2217249837567</v>
      </c>
      <c r="W119" s="100">
        <f t="shared" si="102"/>
        <v>0</v>
      </c>
      <c r="X119" s="100">
        <f t="shared" si="102"/>
        <v>-18.978506099999997</v>
      </c>
      <c r="Y119" s="100">
        <f t="shared" si="102"/>
        <v>-227.74207319999999</v>
      </c>
      <c r="Z119" s="151">
        <f t="shared" si="102"/>
        <v>-227.74207319999999</v>
      </c>
      <c r="AA119" s="448">
        <f t="shared" si="51"/>
        <v>0</v>
      </c>
      <c r="AB119" s="448">
        <f t="shared" si="52"/>
        <v>-18.978506099999997</v>
      </c>
      <c r="AC119" s="448">
        <f t="shared" si="53"/>
        <v>-230.01949393199999</v>
      </c>
      <c r="AD119" s="448">
        <f t="shared" si="54"/>
        <v>-231.859649883456</v>
      </c>
      <c r="AE119" s="285"/>
      <c r="AF119" s="100">
        <f t="shared" si="55"/>
        <v>0</v>
      </c>
      <c r="AG119" s="100">
        <f t="shared" si="56"/>
        <v>-6813.2836898999994</v>
      </c>
      <c r="AH119" s="100">
        <f t="shared" si="57"/>
        <v>-6651.3970328669993</v>
      </c>
      <c r="AI119" s="151">
        <f t="shared" si="58"/>
        <v>-6472.7485592464791</v>
      </c>
      <c r="AJ119" s="100">
        <f t="shared" si="94"/>
        <v>0</v>
      </c>
      <c r="AK119" s="100">
        <f t="shared" si="95"/>
        <v>-264.25671893639998</v>
      </c>
      <c r="AL119" s="100">
        <f t="shared" si="61"/>
        <v>-469.46978711521194</v>
      </c>
      <c r="AM119" s="151">
        <f t="shared" si="62"/>
        <v>-464.87859801632919</v>
      </c>
      <c r="AN119" s="100">
        <f t="shared" si="96"/>
        <v>-1238.9472438177595</v>
      </c>
      <c r="AO119" s="100">
        <f t="shared" si="97"/>
        <v>-1454.1689688015163</v>
      </c>
      <c r="AP119" s="100">
        <f t="shared" si="98"/>
        <v>0</v>
      </c>
      <c r="AQ119" s="100">
        <f t="shared" si="99"/>
        <v>-1406.1813928310662</v>
      </c>
      <c r="AR119" s="100">
        <f t="shared" si="100"/>
        <v>-47.987575970450038</v>
      </c>
      <c r="AS119" s="100">
        <f t="shared" si="68"/>
        <v>0</v>
      </c>
    </row>
    <row r="120" spans="1:45" s="216" customFormat="1">
      <c r="A120" s="682" t="s">
        <v>886</v>
      </c>
      <c r="B120" s="683" t="s">
        <v>1133</v>
      </c>
      <c r="C120" s="684">
        <v>20552.7977388</v>
      </c>
      <c r="D120" s="685">
        <v>42186</v>
      </c>
      <c r="E120" s="691">
        <v>15</v>
      </c>
      <c r="F120" s="282" t="s">
        <v>876</v>
      </c>
      <c r="G120" s="687"/>
      <c r="H120" s="1310" t="s">
        <v>638</v>
      </c>
      <c r="I120" s="137">
        <f t="shared" si="20"/>
        <v>30</v>
      </c>
      <c r="J120" s="223">
        <f t="shared" si="0"/>
        <v>0.96699999999999997</v>
      </c>
      <c r="K120" s="223">
        <f t="shared" si="1"/>
        <v>3.3000000000000002E-2</v>
      </c>
      <c r="L120" s="223">
        <f t="shared" si="2"/>
        <v>0</v>
      </c>
      <c r="M120" s="445">
        <f t="shared" si="101"/>
        <v>0</v>
      </c>
      <c r="N120" s="445">
        <f t="shared" si="101"/>
        <v>0</v>
      </c>
      <c r="O120" s="445">
        <f t="shared" si="101"/>
        <v>1</v>
      </c>
      <c r="P120" s="445">
        <f t="shared" si="101"/>
        <v>1.008</v>
      </c>
      <c r="Q120" s="440">
        <f t="shared" si="45"/>
        <v>205.52797738800001</v>
      </c>
      <c r="R120" s="134">
        <f t="shared" si="46"/>
        <v>0</v>
      </c>
      <c r="S120" s="134">
        <f t="shared" si="47"/>
        <v>0</v>
      </c>
      <c r="T120" s="134">
        <f t="shared" si="48"/>
        <v>205.52797738800001</v>
      </c>
      <c r="U120" s="1069">
        <f t="shared" si="49"/>
        <v>207.17220120710402</v>
      </c>
      <c r="V120" s="134">
        <f t="shared" si="93"/>
        <v>420.92129769062399</v>
      </c>
      <c r="W120" s="100">
        <f t="shared" si="102"/>
        <v>0</v>
      </c>
      <c r="X120" s="100">
        <f t="shared" si="102"/>
        <v>0</v>
      </c>
      <c r="Y120" s="100">
        <f t="shared" si="102"/>
        <v>342.54662897999998</v>
      </c>
      <c r="Z120" s="151">
        <f t="shared" si="102"/>
        <v>685.09325795999996</v>
      </c>
      <c r="AA120" s="448">
        <f t="shared" si="51"/>
        <v>0</v>
      </c>
      <c r="AB120" s="448">
        <f t="shared" si="52"/>
        <v>0</v>
      </c>
      <c r="AC120" s="448">
        <f t="shared" si="53"/>
        <v>342.54662897999998</v>
      </c>
      <c r="AD120" s="448">
        <f t="shared" si="54"/>
        <v>690.57400402368</v>
      </c>
      <c r="AE120" s="285"/>
      <c r="AF120" s="100">
        <f t="shared" si="55"/>
        <v>0</v>
      </c>
      <c r="AG120" s="100">
        <f t="shared" si="56"/>
        <v>0</v>
      </c>
      <c r="AH120" s="100">
        <f t="shared" si="57"/>
        <v>20210.251109820001</v>
      </c>
      <c r="AI120" s="151">
        <f t="shared" si="58"/>
        <v>19681.35911467488</v>
      </c>
      <c r="AJ120" s="100">
        <f t="shared" si="94"/>
        <v>0</v>
      </c>
      <c r="AK120" s="100">
        <f t="shared" si="95"/>
        <v>0</v>
      </c>
      <c r="AL120" s="100">
        <f t="shared" si="61"/>
        <v>1070.1156689335201</v>
      </c>
      <c r="AM120" s="151">
        <f t="shared" si="62"/>
        <v>1399.1029321519757</v>
      </c>
      <c r="AN120" s="100">
        <f t="shared" si="96"/>
        <v>2512.0232278428361</v>
      </c>
      <c r="AO120" s="100">
        <f t="shared" si="97"/>
        <v>2932.9445255334604</v>
      </c>
      <c r="AP120" s="100">
        <f t="shared" si="98"/>
        <v>0</v>
      </c>
      <c r="AQ120" s="100">
        <f t="shared" si="99"/>
        <v>2836.1573561908563</v>
      </c>
      <c r="AR120" s="100">
        <f t="shared" si="100"/>
        <v>96.787169342604201</v>
      </c>
      <c r="AS120" s="100">
        <f t="shared" si="68"/>
        <v>0</v>
      </c>
    </row>
    <row r="121" spans="1:45" s="216" customFormat="1">
      <c r="A121" s="682" t="s">
        <v>886</v>
      </c>
      <c r="B121" s="683" t="s">
        <v>1143</v>
      </c>
      <c r="C121" s="684">
        <v>164146.88548980001</v>
      </c>
      <c r="D121" s="685">
        <v>42186</v>
      </c>
      <c r="E121" s="691">
        <v>21</v>
      </c>
      <c r="F121" s="282" t="s">
        <v>876</v>
      </c>
      <c r="G121" s="687"/>
      <c r="H121" s="1310" t="s">
        <v>638</v>
      </c>
      <c r="I121" s="137">
        <f t="shared" si="20"/>
        <v>55</v>
      </c>
      <c r="J121" s="223">
        <f t="shared" si="0"/>
        <v>0.96699999999999997</v>
      </c>
      <c r="K121" s="223">
        <f t="shared" si="1"/>
        <v>3.3000000000000002E-2</v>
      </c>
      <c r="L121" s="223">
        <f t="shared" si="2"/>
        <v>0</v>
      </c>
      <c r="M121" s="445">
        <f t="shared" si="101"/>
        <v>0</v>
      </c>
      <c r="N121" s="445">
        <f t="shared" si="101"/>
        <v>0</v>
      </c>
      <c r="O121" s="445">
        <f t="shared" si="101"/>
        <v>1</v>
      </c>
      <c r="P121" s="445">
        <f t="shared" si="101"/>
        <v>1.008</v>
      </c>
      <c r="Q121" s="440">
        <f t="shared" si="45"/>
        <v>1641.4688548980002</v>
      </c>
      <c r="R121" s="134">
        <f t="shared" si="46"/>
        <v>0</v>
      </c>
      <c r="S121" s="134">
        <f t="shared" si="47"/>
        <v>0</v>
      </c>
      <c r="T121" s="134">
        <f t="shared" si="48"/>
        <v>1641.4688548980002</v>
      </c>
      <c r="U121" s="1069">
        <f t="shared" si="49"/>
        <v>1654.6006057371842</v>
      </c>
      <c r="V121" s="134">
        <f t="shared" si="93"/>
        <v>3361.7282148311037</v>
      </c>
      <c r="W121" s="100">
        <f t="shared" si="102"/>
        <v>0</v>
      </c>
      <c r="X121" s="100">
        <f t="shared" si="102"/>
        <v>0</v>
      </c>
      <c r="Y121" s="100">
        <f t="shared" si="102"/>
        <v>1492.2444135436365</v>
      </c>
      <c r="Z121" s="151">
        <f t="shared" si="102"/>
        <v>2984.488827087273</v>
      </c>
      <c r="AA121" s="448">
        <f t="shared" si="51"/>
        <v>0</v>
      </c>
      <c r="AB121" s="448">
        <f t="shared" si="52"/>
        <v>0</v>
      </c>
      <c r="AC121" s="448">
        <f t="shared" si="53"/>
        <v>1492.2444135436365</v>
      </c>
      <c r="AD121" s="448">
        <f t="shared" si="54"/>
        <v>3008.3647377039711</v>
      </c>
      <c r="AE121" s="285"/>
      <c r="AF121" s="100">
        <f t="shared" si="55"/>
        <v>0</v>
      </c>
      <c r="AG121" s="100">
        <f t="shared" si="56"/>
        <v>0</v>
      </c>
      <c r="AH121" s="100">
        <f t="shared" si="57"/>
        <v>162654.64107625638</v>
      </c>
      <c r="AI121" s="151">
        <f t="shared" si="58"/>
        <v>160947.51346716247</v>
      </c>
      <c r="AJ121" s="100">
        <f t="shared" si="94"/>
        <v>0</v>
      </c>
      <c r="AK121" s="100">
        <f t="shared" si="95"/>
        <v>0</v>
      </c>
      <c r="AL121" s="100">
        <f t="shared" si="61"/>
        <v>7347.8114922888653</v>
      </c>
      <c r="AM121" s="151">
        <f t="shared" si="62"/>
        <v>8802.4752225218199</v>
      </c>
      <c r="AN121" s="100">
        <f t="shared" si="96"/>
        <v>16444.199174502239</v>
      </c>
      <c r="AO121" s="100">
        <f t="shared" si="97"/>
        <v>19805.927389333341</v>
      </c>
      <c r="AP121" s="100">
        <f t="shared" si="98"/>
        <v>0</v>
      </c>
      <c r="AQ121" s="100">
        <f t="shared" si="99"/>
        <v>19152.331785485341</v>
      </c>
      <c r="AR121" s="100">
        <f t="shared" si="100"/>
        <v>653.59560384800034</v>
      </c>
      <c r="AS121" s="100">
        <f t="shared" si="68"/>
        <v>0</v>
      </c>
    </row>
    <row r="122" spans="1:45" s="216" customFormat="1">
      <c r="A122" s="682" t="s">
        <v>886</v>
      </c>
      <c r="B122" s="683" t="s">
        <v>1134</v>
      </c>
      <c r="C122" s="684">
        <v>-5982.4926804999986</v>
      </c>
      <c r="D122" s="685">
        <v>42186</v>
      </c>
      <c r="E122" s="691">
        <v>32</v>
      </c>
      <c r="F122" s="282" t="s">
        <v>876</v>
      </c>
      <c r="G122" s="687"/>
      <c r="H122" s="1310" t="s">
        <v>638</v>
      </c>
      <c r="I122" s="137">
        <f t="shared" si="20"/>
        <v>30</v>
      </c>
      <c r="J122" s="223">
        <f t="shared" si="0"/>
        <v>0.96699999999999997</v>
      </c>
      <c r="K122" s="223">
        <f t="shared" si="1"/>
        <v>3.3000000000000002E-2</v>
      </c>
      <c r="L122" s="223">
        <f t="shared" si="2"/>
        <v>0</v>
      </c>
      <c r="M122" s="445">
        <f t="shared" si="101"/>
        <v>0</v>
      </c>
      <c r="N122" s="445">
        <f t="shared" si="101"/>
        <v>0</v>
      </c>
      <c r="O122" s="445">
        <f t="shared" si="101"/>
        <v>1</v>
      </c>
      <c r="P122" s="445">
        <f t="shared" si="101"/>
        <v>1.008</v>
      </c>
      <c r="Q122" s="440">
        <f t="shared" si="45"/>
        <v>-59.82492680499999</v>
      </c>
      <c r="R122" s="134">
        <f t="shared" si="46"/>
        <v>0</v>
      </c>
      <c r="S122" s="134">
        <f t="shared" si="47"/>
        <v>0</v>
      </c>
      <c r="T122" s="134">
        <f t="shared" si="48"/>
        <v>-59.82492680499999</v>
      </c>
      <c r="U122" s="1069">
        <f t="shared" si="49"/>
        <v>-60.303526219439988</v>
      </c>
      <c r="V122" s="134">
        <f t="shared" si="93"/>
        <v>-122.52145009663995</v>
      </c>
      <c r="W122" s="100">
        <f t="shared" si="102"/>
        <v>0</v>
      </c>
      <c r="X122" s="100">
        <f t="shared" si="102"/>
        <v>0</v>
      </c>
      <c r="Y122" s="100">
        <f t="shared" si="102"/>
        <v>-99.70821134166664</v>
      </c>
      <c r="Z122" s="151">
        <f t="shared" si="102"/>
        <v>-199.41642268333328</v>
      </c>
      <c r="AA122" s="448">
        <f t="shared" si="51"/>
        <v>0</v>
      </c>
      <c r="AB122" s="448">
        <f t="shared" si="52"/>
        <v>0</v>
      </c>
      <c r="AC122" s="448">
        <f t="shared" si="53"/>
        <v>-99.70821134166664</v>
      </c>
      <c r="AD122" s="448">
        <f t="shared" si="54"/>
        <v>-201.01175406479996</v>
      </c>
      <c r="AE122" s="285"/>
      <c r="AF122" s="100">
        <f t="shared" si="55"/>
        <v>0</v>
      </c>
      <c r="AG122" s="100">
        <f t="shared" si="56"/>
        <v>0</v>
      </c>
      <c r="AH122" s="100">
        <f t="shared" si="57"/>
        <v>-5882.7844691583323</v>
      </c>
      <c r="AI122" s="151">
        <f t="shared" si="58"/>
        <v>-5728.834990846799</v>
      </c>
      <c r="AJ122" s="100">
        <f t="shared" si="94"/>
        <v>0</v>
      </c>
      <c r="AK122" s="100">
        <f t="shared" si="95"/>
        <v>0</v>
      </c>
      <c r="AL122" s="100">
        <f t="shared" si="61"/>
        <v>-311.48845223136658</v>
      </c>
      <c r="AM122" s="151">
        <f t="shared" si="62"/>
        <v>-407.2498137352847</v>
      </c>
      <c r="AN122" s="100">
        <f t="shared" si="96"/>
        <v>-731.19780405590586</v>
      </c>
      <c r="AO122" s="100">
        <f t="shared" si="97"/>
        <v>-853.71925415254577</v>
      </c>
      <c r="AP122" s="100">
        <f t="shared" si="98"/>
        <v>0</v>
      </c>
      <c r="AQ122" s="100">
        <f t="shared" si="99"/>
        <v>-825.54651876551179</v>
      </c>
      <c r="AR122" s="100">
        <f t="shared" si="100"/>
        <v>-28.172735387034013</v>
      </c>
      <c r="AS122" s="100">
        <f t="shared" si="68"/>
        <v>0</v>
      </c>
    </row>
    <row r="123" spans="1:45" s="216" customFormat="1">
      <c r="A123" s="688" t="s">
        <v>890</v>
      </c>
      <c r="B123" s="689" t="s">
        <v>632</v>
      </c>
      <c r="C123" s="684">
        <v>138181907.50538203</v>
      </c>
      <c r="D123" s="690">
        <v>41400</v>
      </c>
      <c r="E123" s="691">
        <v>21</v>
      </c>
      <c r="F123" s="282" t="s">
        <v>876</v>
      </c>
      <c r="G123" s="687" t="s">
        <v>638</v>
      </c>
      <c r="H123" s="1060" t="s">
        <v>662</v>
      </c>
      <c r="I123" s="137">
        <f t="shared" si="20"/>
        <v>55</v>
      </c>
      <c r="J123" s="223">
        <f t="shared" si="0"/>
        <v>0.96699999999999997</v>
      </c>
      <c r="K123" s="223">
        <f t="shared" si="1"/>
        <v>3.3000000000000002E-2</v>
      </c>
      <c r="L123" s="223">
        <f t="shared" si="2"/>
        <v>0</v>
      </c>
      <c r="M123" s="445">
        <f t="shared" si="101"/>
        <v>1</v>
      </c>
      <c r="N123" s="445">
        <f t="shared" si="101"/>
        <v>1.028</v>
      </c>
      <c r="O123" s="445">
        <f t="shared" si="101"/>
        <v>1.0382800000000001</v>
      </c>
      <c r="P123" s="445">
        <f t="shared" si="101"/>
        <v>1.0465862400000001</v>
      </c>
      <c r="Q123" s="440">
        <f t="shared" si="45"/>
        <v>1381819.0750538204</v>
      </c>
      <c r="R123" s="134">
        <f t="shared" si="46"/>
        <v>1381819.0750538204</v>
      </c>
      <c r="S123" s="134">
        <f t="shared" si="47"/>
        <v>1420510.0091553275</v>
      </c>
      <c r="T123" s="134">
        <f t="shared" si="48"/>
        <v>1434715.1092468807</v>
      </c>
      <c r="U123" s="1069">
        <f t="shared" si="49"/>
        <v>1446192.8301208559</v>
      </c>
      <c r="V123" s="134">
        <f t="shared" si="93"/>
        <v>1446192.8301208559</v>
      </c>
      <c r="W123" s="100">
        <f t="shared" si="102"/>
        <v>1674932.2121864487</v>
      </c>
      <c r="X123" s="100">
        <f t="shared" si="102"/>
        <v>2512398.3182796733</v>
      </c>
      <c r="Y123" s="100">
        <f t="shared" si="102"/>
        <v>2512398.3182796733</v>
      </c>
      <c r="Z123" s="151">
        <f t="shared" si="102"/>
        <v>2512398.3182796733</v>
      </c>
      <c r="AA123" s="448">
        <f t="shared" si="51"/>
        <v>1674932.2121864487</v>
      </c>
      <c r="AB123" s="448">
        <f t="shared" si="52"/>
        <v>2582745.471191504</v>
      </c>
      <c r="AC123" s="448">
        <f t="shared" si="53"/>
        <v>2608572.9259034195</v>
      </c>
      <c r="AD123" s="448">
        <f t="shared" si="54"/>
        <v>2629441.5093106469</v>
      </c>
      <c r="AE123" s="285"/>
      <c r="AF123" s="100">
        <f t="shared" si="55"/>
        <v>136506975.29319558</v>
      </c>
      <c r="AG123" s="100">
        <f t="shared" si="56"/>
        <v>137746425.13021356</v>
      </c>
      <c r="AH123" s="100">
        <f t="shared" si="57"/>
        <v>136515316.45561227</v>
      </c>
      <c r="AI123" s="151">
        <f t="shared" si="58"/>
        <v>134977997.47794655</v>
      </c>
      <c r="AJ123" s="100">
        <f t="shared" si="94"/>
        <v>9592336.779191792</v>
      </c>
      <c r="AK123" s="100">
        <f t="shared" si="95"/>
        <v>7541616.7758791922</v>
      </c>
      <c r="AL123" s="100">
        <f t="shared" si="61"/>
        <v>7523124.3183054607</v>
      </c>
      <c r="AM123" s="151">
        <f t="shared" si="62"/>
        <v>7488649.4185167225</v>
      </c>
      <c r="AN123" s="100">
        <f t="shared" si="96"/>
        <v>7488649.4185167225</v>
      </c>
      <c r="AO123" s="100">
        <f t="shared" si="97"/>
        <v>8934842.2486375794</v>
      </c>
      <c r="AP123" s="100">
        <f t="shared" si="98"/>
        <v>8639992.4544325396</v>
      </c>
      <c r="AQ123" s="100">
        <f t="shared" si="99"/>
        <v>0</v>
      </c>
      <c r="AR123" s="100">
        <f t="shared" si="100"/>
        <v>294849.79420504015</v>
      </c>
      <c r="AS123" s="100">
        <f t="shared" si="68"/>
        <v>0</v>
      </c>
    </row>
    <row r="124" spans="1:45" s="216" customFormat="1">
      <c r="A124" s="688" t="s">
        <v>890</v>
      </c>
      <c r="B124" s="689" t="s">
        <v>642</v>
      </c>
      <c r="C124" s="684">
        <v>1682495.2153350001</v>
      </c>
      <c r="D124" s="690">
        <v>41400</v>
      </c>
      <c r="E124" s="691">
        <v>42</v>
      </c>
      <c r="F124" s="282" t="s">
        <v>876</v>
      </c>
      <c r="G124" s="687" t="s">
        <v>638</v>
      </c>
      <c r="H124" s="1060" t="s">
        <v>662</v>
      </c>
      <c r="I124" s="137">
        <f t="shared" si="20"/>
        <v>1000000000</v>
      </c>
      <c r="J124" s="223">
        <f t="shared" si="0"/>
        <v>0.96699999999999997</v>
      </c>
      <c r="K124" s="223">
        <f t="shared" si="1"/>
        <v>3.3000000000000002E-2</v>
      </c>
      <c r="L124" s="223">
        <f t="shared" si="2"/>
        <v>0</v>
      </c>
      <c r="M124" s="445">
        <f t="shared" si="101"/>
        <v>1</v>
      </c>
      <c r="N124" s="445">
        <f t="shared" si="101"/>
        <v>1.028</v>
      </c>
      <c r="O124" s="445">
        <f t="shared" si="101"/>
        <v>1.0382800000000001</v>
      </c>
      <c r="P124" s="445">
        <f t="shared" si="101"/>
        <v>1.0465862400000001</v>
      </c>
      <c r="Q124" s="440">
        <f t="shared" si="45"/>
        <v>16824.952153350001</v>
      </c>
      <c r="R124" s="134">
        <f t="shared" si="46"/>
        <v>16824.952153350001</v>
      </c>
      <c r="S124" s="134">
        <f t="shared" si="47"/>
        <v>17296.0508136438</v>
      </c>
      <c r="T124" s="134">
        <f t="shared" si="48"/>
        <v>17469.011321780239</v>
      </c>
      <c r="U124" s="1069">
        <f t="shared" si="49"/>
        <v>17608.763412354481</v>
      </c>
      <c r="V124" s="134">
        <f t="shared" si="93"/>
        <v>17608.763412354481</v>
      </c>
      <c r="W124" s="100">
        <f t="shared" si="102"/>
        <v>1.1216634768900001E-3</v>
      </c>
      <c r="X124" s="100">
        <f t="shared" si="102"/>
        <v>1.682495215335E-3</v>
      </c>
      <c r="Y124" s="100">
        <f t="shared" si="102"/>
        <v>1.682495215335E-3</v>
      </c>
      <c r="Z124" s="151">
        <f t="shared" si="102"/>
        <v>1.682495215335E-3</v>
      </c>
      <c r="AA124" s="448">
        <f t="shared" si="51"/>
        <v>1.1216634768900001E-3</v>
      </c>
      <c r="AB124" s="448">
        <f t="shared" si="52"/>
        <v>1.72960508136438E-3</v>
      </c>
      <c r="AC124" s="448">
        <f t="shared" si="53"/>
        <v>1.7469011321780241E-3</v>
      </c>
      <c r="AD124" s="448">
        <f t="shared" si="54"/>
        <v>1.7608763412354483E-3</v>
      </c>
      <c r="AE124" s="285"/>
      <c r="AF124" s="100">
        <f t="shared" si="55"/>
        <v>1682495.2142133366</v>
      </c>
      <c r="AG124" s="100">
        <f t="shared" si="56"/>
        <v>1729605.0784817049</v>
      </c>
      <c r="AH124" s="100">
        <f t="shared" si="57"/>
        <v>1746901.1275196208</v>
      </c>
      <c r="AI124" s="151">
        <f t="shared" si="58"/>
        <v>1760876.3347789014</v>
      </c>
      <c r="AJ124" s="100">
        <f t="shared" si="94"/>
        <v>97584.723546036999</v>
      </c>
      <c r="AK124" s="100">
        <f t="shared" si="95"/>
        <v>62265.784554946455</v>
      </c>
      <c r="AL124" s="100">
        <f t="shared" si="61"/>
        <v>62888.44233760747</v>
      </c>
      <c r="AM124" s="151">
        <f t="shared" si="62"/>
        <v>63391.54981291679</v>
      </c>
      <c r="AN124" s="100">
        <f t="shared" si="96"/>
        <v>63391.54981291679</v>
      </c>
      <c r="AO124" s="100">
        <f t="shared" si="97"/>
        <v>81000.313225271268</v>
      </c>
      <c r="AP124" s="100">
        <f t="shared" si="98"/>
        <v>78327.302888837308</v>
      </c>
      <c r="AQ124" s="100">
        <f t="shared" si="99"/>
        <v>0</v>
      </c>
      <c r="AR124" s="100">
        <f t="shared" si="100"/>
        <v>2673.010336433952</v>
      </c>
      <c r="AS124" s="100">
        <f t="shared" si="68"/>
        <v>0</v>
      </c>
    </row>
    <row r="125" spans="1:45" s="216" customFormat="1">
      <c r="A125" s="688" t="s">
        <v>890</v>
      </c>
      <c r="B125" s="689" t="s">
        <v>888</v>
      </c>
      <c r="C125" s="684">
        <v>4860369.9257689537</v>
      </c>
      <c r="D125" s="690">
        <v>41639</v>
      </c>
      <c r="E125" s="691">
        <v>21</v>
      </c>
      <c r="F125" s="282" t="s">
        <v>876</v>
      </c>
      <c r="G125" s="687" t="s">
        <v>638</v>
      </c>
      <c r="H125" s="1060" t="s">
        <v>662</v>
      </c>
      <c r="I125" s="137">
        <f t="shared" si="20"/>
        <v>55</v>
      </c>
      <c r="J125" s="223">
        <f t="shared" si="0"/>
        <v>0.96699999999999997</v>
      </c>
      <c r="K125" s="223">
        <f t="shared" si="1"/>
        <v>3.3000000000000002E-2</v>
      </c>
      <c r="L125" s="223">
        <f t="shared" si="2"/>
        <v>0</v>
      </c>
      <c r="M125" s="445">
        <f t="shared" si="101"/>
        <v>1</v>
      </c>
      <c r="N125" s="445">
        <f t="shared" si="101"/>
        <v>1.028</v>
      </c>
      <c r="O125" s="445">
        <f t="shared" si="101"/>
        <v>1.0382800000000001</v>
      </c>
      <c r="P125" s="445">
        <f t="shared" si="101"/>
        <v>1.0465862400000001</v>
      </c>
      <c r="Q125" s="440">
        <f t="shared" si="45"/>
        <v>48603.699257689535</v>
      </c>
      <c r="R125" s="134">
        <f t="shared" si="46"/>
        <v>48603.699257689535</v>
      </c>
      <c r="S125" s="134">
        <f t="shared" si="47"/>
        <v>49964.602836904844</v>
      </c>
      <c r="T125" s="134">
        <f t="shared" si="48"/>
        <v>50464.248865273898</v>
      </c>
      <c r="U125" s="1069">
        <f t="shared" si="49"/>
        <v>50867.962856196085</v>
      </c>
      <c r="V125" s="134">
        <f t="shared" si="93"/>
        <v>50867.962856196085</v>
      </c>
      <c r="W125" s="100">
        <f t="shared" si="102"/>
        <v>7364.1968572256874</v>
      </c>
      <c r="X125" s="100">
        <f t="shared" si="102"/>
        <v>88370.362286708245</v>
      </c>
      <c r="Y125" s="100">
        <f t="shared" si="102"/>
        <v>88370.362286708245</v>
      </c>
      <c r="Z125" s="151">
        <f t="shared" si="102"/>
        <v>88370.362286708245</v>
      </c>
      <c r="AA125" s="448">
        <f t="shared" si="51"/>
        <v>7364.1968572256874</v>
      </c>
      <c r="AB125" s="448">
        <f t="shared" si="52"/>
        <v>90844.732430736083</v>
      </c>
      <c r="AC125" s="448">
        <f t="shared" si="53"/>
        <v>91753.179755043442</v>
      </c>
      <c r="AD125" s="448">
        <f t="shared" si="54"/>
        <v>92487.205193083792</v>
      </c>
      <c r="AE125" s="285"/>
      <c r="AF125" s="100">
        <f t="shared" si="55"/>
        <v>4853005.7289117277</v>
      </c>
      <c r="AG125" s="100">
        <f t="shared" si="56"/>
        <v>4898045.1568905199</v>
      </c>
      <c r="AH125" s="100">
        <f t="shared" si="57"/>
        <v>4855272.4287043819</v>
      </c>
      <c r="AI125" s="151">
        <f t="shared" si="58"/>
        <v>4801627.4029409336</v>
      </c>
      <c r="AJ125" s="100">
        <f t="shared" si="94"/>
        <v>288838.52913410589</v>
      </c>
      <c r="AK125" s="100">
        <f t="shared" si="95"/>
        <v>267174.35807879479</v>
      </c>
      <c r="AL125" s="100">
        <f t="shared" si="61"/>
        <v>266542.98718840117</v>
      </c>
      <c r="AM125" s="151">
        <f t="shared" si="62"/>
        <v>265345.79169895739</v>
      </c>
      <c r="AN125" s="100">
        <f t="shared" si="96"/>
        <v>265345.79169895739</v>
      </c>
      <c r="AO125" s="100">
        <f t="shared" si="97"/>
        <v>316213.75455515349</v>
      </c>
      <c r="AP125" s="100">
        <f t="shared" si="98"/>
        <v>305778.7006548334</v>
      </c>
      <c r="AQ125" s="100">
        <f t="shared" si="99"/>
        <v>0</v>
      </c>
      <c r="AR125" s="100">
        <f t="shared" si="100"/>
        <v>10435.053900320065</v>
      </c>
      <c r="AS125" s="100">
        <f t="shared" si="68"/>
        <v>0</v>
      </c>
    </row>
    <row r="126" spans="1:45" s="216" customFormat="1">
      <c r="A126" s="688" t="s">
        <v>890</v>
      </c>
      <c r="B126" s="689" t="s">
        <v>888</v>
      </c>
      <c r="C126" s="684">
        <v>898803.78684755997</v>
      </c>
      <c r="D126" s="690">
        <v>41821</v>
      </c>
      <c r="E126" s="691">
        <v>21</v>
      </c>
      <c r="F126" s="282" t="s">
        <v>876</v>
      </c>
      <c r="G126" s="687"/>
      <c r="H126" s="1060" t="s">
        <v>662</v>
      </c>
      <c r="I126" s="137">
        <f t="shared" si="20"/>
        <v>55</v>
      </c>
      <c r="J126" s="223">
        <f t="shared" si="0"/>
        <v>0.96699999999999997</v>
      </c>
      <c r="K126" s="223">
        <f t="shared" si="1"/>
        <v>3.3000000000000002E-2</v>
      </c>
      <c r="L126" s="223">
        <f t="shared" si="2"/>
        <v>0</v>
      </c>
      <c r="M126" s="445">
        <f t="shared" si="101"/>
        <v>0</v>
      </c>
      <c r="N126" s="445">
        <f t="shared" si="101"/>
        <v>1</v>
      </c>
      <c r="O126" s="445">
        <f t="shared" si="101"/>
        <v>1.01</v>
      </c>
      <c r="P126" s="445">
        <f t="shared" si="101"/>
        <v>1.0180800000000001</v>
      </c>
      <c r="Q126" s="440">
        <f t="shared" si="45"/>
        <v>8988.0378684755997</v>
      </c>
      <c r="R126" s="134">
        <f t="shared" si="46"/>
        <v>0</v>
      </c>
      <c r="S126" s="134">
        <f t="shared" si="47"/>
        <v>8988.0378684755997</v>
      </c>
      <c r="T126" s="134">
        <f t="shared" si="48"/>
        <v>9077.9182471603563</v>
      </c>
      <c r="U126" s="1069">
        <f t="shared" si="49"/>
        <v>9150.5415931376392</v>
      </c>
      <c r="V126" s="134">
        <f t="shared" si="93"/>
        <v>9150.5415931376392</v>
      </c>
      <c r="W126" s="100">
        <f t="shared" si="102"/>
        <v>0</v>
      </c>
      <c r="X126" s="100">
        <f t="shared" si="102"/>
        <v>8170.943516796</v>
      </c>
      <c r="Y126" s="100">
        <f t="shared" si="102"/>
        <v>16341.887033592</v>
      </c>
      <c r="Z126" s="151">
        <f t="shared" si="102"/>
        <v>16341.887033592</v>
      </c>
      <c r="AA126" s="448">
        <f t="shared" si="51"/>
        <v>0</v>
      </c>
      <c r="AB126" s="448">
        <f t="shared" si="52"/>
        <v>8170.943516796</v>
      </c>
      <c r="AC126" s="448">
        <f t="shared" si="53"/>
        <v>16505.305903927921</v>
      </c>
      <c r="AD126" s="448">
        <f t="shared" si="54"/>
        <v>16637.348351159344</v>
      </c>
      <c r="AE126" s="285"/>
      <c r="AF126" s="100">
        <f t="shared" si="55"/>
        <v>0</v>
      </c>
      <c r="AG126" s="100">
        <f t="shared" si="56"/>
        <v>890632.84333076398</v>
      </c>
      <c r="AH126" s="100">
        <f t="shared" si="57"/>
        <v>883033.86586014379</v>
      </c>
      <c r="AI126" s="151">
        <f t="shared" si="58"/>
        <v>873460.78843586554</v>
      </c>
      <c r="AJ126" s="100">
        <f t="shared" si="94"/>
        <v>0</v>
      </c>
      <c r="AK126" s="100">
        <f t="shared" si="95"/>
        <v>40233.725876703502</v>
      </c>
      <c r="AL126" s="100">
        <f t="shared" si="61"/>
        <v>48294.525074893099</v>
      </c>
      <c r="AM126" s="151">
        <f t="shared" si="62"/>
        <v>48081.936734850504</v>
      </c>
      <c r="AN126" s="100">
        <f t="shared" si="96"/>
        <v>48081.936734850504</v>
      </c>
      <c r="AO126" s="100">
        <f t="shared" si="97"/>
        <v>57232.478327988145</v>
      </c>
      <c r="AP126" s="100">
        <f t="shared" si="98"/>
        <v>0</v>
      </c>
      <c r="AQ126" s="100">
        <f t="shared" si="99"/>
        <v>55343.806543164537</v>
      </c>
      <c r="AR126" s="100">
        <f t="shared" si="100"/>
        <v>1888.671784823609</v>
      </c>
      <c r="AS126" s="100">
        <f t="shared" si="68"/>
        <v>0</v>
      </c>
    </row>
    <row r="127" spans="1:45" s="216" customFormat="1">
      <c r="A127" s="682" t="s">
        <v>890</v>
      </c>
      <c r="B127" s="683" t="s">
        <v>1141</v>
      </c>
      <c r="C127" s="684">
        <v>1205266.741984</v>
      </c>
      <c r="D127" s="685">
        <v>42004</v>
      </c>
      <c r="E127" s="691">
        <v>21</v>
      </c>
      <c r="F127" s="282" t="s">
        <v>876</v>
      </c>
      <c r="G127" s="687"/>
      <c r="H127" s="1310" t="s">
        <v>638</v>
      </c>
      <c r="I127" s="137">
        <f t="shared" si="20"/>
        <v>55</v>
      </c>
      <c r="J127" s="223">
        <f t="shared" si="0"/>
        <v>0.96699999999999997</v>
      </c>
      <c r="K127" s="223">
        <f t="shared" si="1"/>
        <v>3.3000000000000002E-2</v>
      </c>
      <c r="L127" s="223">
        <f t="shared" si="2"/>
        <v>0</v>
      </c>
      <c r="M127" s="445">
        <f t="shared" si="101"/>
        <v>0</v>
      </c>
      <c r="N127" s="445">
        <f t="shared" si="101"/>
        <v>1</v>
      </c>
      <c r="O127" s="445">
        <f t="shared" si="101"/>
        <v>1.01</v>
      </c>
      <c r="P127" s="445">
        <f t="shared" si="101"/>
        <v>1.0180800000000001</v>
      </c>
      <c r="Q127" s="440">
        <f t="shared" si="45"/>
        <v>12052.66741984</v>
      </c>
      <c r="R127" s="134">
        <f t="shared" si="46"/>
        <v>0</v>
      </c>
      <c r="S127" s="134">
        <f t="shared" si="47"/>
        <v>12052.66741984</v>
      </c>
      <c r="T127" s="134">
        <f t="shared" si="48"/>
        <v>12173.194094038399</v>
      </c>
      <c r="U127" s="1069">
        <f t="shared" si="49"/>
        <v>12270.579646790708</v>
      </c>
      <c r="V127" s="134">
        <f t="shared" si="93"/>
        <v>37966.866585889569</v>
      </c>
      <c r="W127" s="100">
        <f t="shared" si="102"/>
        <v>0</v>
      </c>
      <c r="X127" s="100">
        <f t="shared" si="102"/>
        <v>1826.1617302787877</v>
      </c>
      <c r="Y127" s="100">
        <f t="shared" si="102"/>
        <v>21913.940763345454</v>
      </c>
      <c r="Z127" s="151">
        <f t="shared" si="102"/>
        <v>21913.940763345454</v>
      </c>
      <c r="AA127" s="448">
        <f t="shared" si="51"/>
        <v>0</v>
      </c>
      <c r="AB127" s="448">
        <f t="shared" si="52"/>
        <v>1826.1617302787877</v>
      </c>
      <c r="AC127" s="448">
        <f t="shared" si="53"/>
        <v>22133.080170978908</v>
      </c>
      <c r="AD127" s="448">
        <f t="shared" si="54"/>
        <v>22310.144812346742</v>
      </c>
      <c r="AE127" s="285"/>
      <c r="AF127" s="100">
        <f t="shared" si="55"/>
        <v>0</v>
      </c>
      <c r="AG127" s="100">
        <f t="shared" si="56"/>
        <v>1203440.5802537212</v>
      </c>
      <c r="AH127" s="100">
        <f t="shared" si="57"/>
        <v>1193341.9058852796</v>
      </c>
      <c r="AI127" s="151">
        <f t="shared" si="58"/>
        <v>1180578.4963200153</v>
      </c>
      <c r="AJ127" s="100">
        <f t="shared" si="94"/>
        <v>0</v>
      </c>
      <c r="AK127" s="100">
        <f t="shared" si="95"/>
        <v>45150.022619412746</v>
      </c>
      <c r="AL127" s="100">
        <f t="shared" si="61"/>
        <v>65093.388782848975</v>
      </c>
      <c r="AM127" s="151">
        <f t="shared" si="62"/>
        <v>64810.970679867292</v>
      </c>
      <c r="AN127" s="100">
        <f t="shared" si="96"/>
        <v>181342.35947918697</v>
      </c>
      <c r="AO127" s="100">
        <f t="shared" si="97"/>
        <v>219309.22606507654</v>
      </c>
      <c r="AP127" s="100">
        <f t="shared" si="98"/>
        <v>0</v>
      </c>
      <c r="AQ127" s="100">
        <f t="shared" si="99"/>
        <v>212072.021604929</v>
      </c>
      <c r="AR127" s="100">
        <f t="shared" si="100"/>
        <v>7237.2044601475263</v>
      </c>
      <c r="AS127" s="100">
        <f t="shared" si="68"/>
        <v>0</v>
      </c>
    </row>
    <row r="128" spans="1:45" s="216" customFormat="1">
      <c r="A128" s="682" t="s">
        <v>890</v>
      </c>
      <c r="B128" s="683" t="s">
        <v>1143</v>
      </c>
      <c r="C128" s="684">
        <v>214585.57216180002</v>
      </c>
      <c r="D128" s="685">
        <v>42186</v>
      </c>
      <c r="E128" s="691">
        <v>21</v>
      </c>
      <c r="F128" s="282" t="s">
        <v>876</v>
      </c>
      <c r="G128" s="691"/>
      <c r="H128" s="1310" t="s">
        <v>638</v>
      </c>
      <c r="I128" s="137">
        <f t="shared" si="20"/>
        <v>55</v>
      </c>
      <c r="J128" s="223">
        <f t="shared" si="0"/>
        <v>0.96699999999999997</v>
      </c>
      <c r="K128" s="223">
        <f t="shared" si="1"/>
        <v>3.3000000000000002E-2</v>
      </c>
      <c r="L128" s="223">
        <f t="shared" si="2"/>
        <v>0</v>
      </c>
      <c r="M128" s="445">
        <f t="shared" si="101"/>
        <v>0</v>
      </c>
      <c r="N128" s="445">
        <f t="shared" si="101"/>
        <v>0</v>
      </c>
      <c r="O128" s="445">
        <f t="shared" si="101"/>
        <v>1</v>
      </c>
      <c r="P128" s="445">
        <f t="shared" si="101"/>
        <v>1.008</v>
      </c>
      <c r="Q128" s="440">
        <f t="shared" si="45"/>
        <v>2145.8557216180002</v>
      </c>
      <c r="R128" s="134">
        <f t="shared" si="46"/>
        <v>0</v>
      </c>
      <c r="S128" s="134">
        <f t="shared" si="47"/>
        <v>0</v>
      </c>
      <c r="T128" s="134">
        <f t="shared" si="48"/>
        <v>2145.8557216180002</v>
      </c>
      <c r="U128" s="1069">
        <f t="shared" si="49"/>
        <v>2163.022567390944</v>
      </c>
      <c r="V128" s="134">
        <f t="shared" si="93"/>
        <v>4394.7125178736633</v>
      </c>
      <c r="W128" s="100">
        <f t="shared" si="102"/>
        <v>0</v>
      </c>
      <c r="X128" s="100">
        <f t="shared" si="102"/>
        <v>0</v>
      </c>
      <c r="Y128" s="100">
        <f t="shared" si="102"/>
        <v>1950.7779287436365</v>
      </c>
      <c r="Z128" s="151">
        <f t="shared" si="102"/>
        <v>3901.555857487273</v>
      </c>
      <c r="AA128" s="448">
        <f t="shared" si="51"/>
        <v>0</v>
      </c>
      <c r="AB128" s="448">
        <f t="shared" si="52"/>
        <v>0</v>
      </c>
      <c r="AC128" s="448">
        <f t="shared" si="53"/>
        <v>1950.7779287436365</v>
      </c>
      <c r="AD128" s="448">
        <f t="shared" si="54"/>
        <v>3932.7683043471711</v>
      </c>
      <c r="AE128" s="285"/>
      <c r="AF128" s="100">
        <f t="shared" si="55"/>
        <v>0</v>
      </c>
      <c r="AG128" s="100">
        <f t="shared" si="56"/>
        <v>0</v>
      </c>
      <c r="AH128" s="100">
        <f t="shared" si="57"/>
        <v>212634.7942330564</v>
      </c>
      <c r="AI128" s="151">
        <f t="shared" si="58"/>
        <v>210403.10428257368</v>
      </c>
      <c r="AJ128" s="100">
        <f t="shared" si="94"/>
        <v>0</v>
      </c>
      <c r="AK128" s="100">
        <f t="shared" si="95"/>
        <v>0</v>
      </c>
      <c r="AL128" s="100">
        <f t="shared" si="61"/>
        <v>9605.6305211336658</v>
      </c>
      <c r="AM128" s="151">
        <f t="shared" si="62"/>
        <v>11507.280058519824</v>
      </c>
      <c r="AN128" s="100">
        <f t="shared" si="96"/>
        <v>21497.135800498832</v>
      </c>
      <c r="AO128" s="100">
        <f t="shared" si="97"/>
        <v>25891.848318372497</v>
      </c>
      <c r="AP128" s="100">
        <f t="shared" si="98"/>
        <v>0</v>
      </c>
      <c r="AQ128" s="100">
        <f t="shared" si="99"/>
        <v>25037.417323866204</v>
      </c>
      <c r="AR128" s="100">
        <f t="shared" si="100"/>
        <v>854.43099450629245</v>
      </c>
      <c r="AS128" s="100">
        <f t="shared" si="68"/>
        <v>0</v>
      </c>
    </row>
    <row r="129" spans="1:45" s="216" customFormat="1">
      <c r="A129" s="1365"/>
      <c r="B129" s="1379"/>
      <c r="C129" s="684">
        <v>614483.70741879242</v>
      </c>
      <c r="D129" s="690">
        <v>41599</v>
      </c>
      <c r="E129" s="691">
        <v>2</v>
      </c>
      <c r="F129" s="282" t="s">
        <v>876</v>
      </c>
      <c r="G129" s="687" t="s">
        <v>638</v>
      </c>
      <c r="H129" s="1060" t="s">
        <v>662</v>
      </c>
      <c r="I129" s="137">
        <f t="shared" si="20"/>
        <v>30</v>
      </c>
      <c r="J129" s="223">
        <f t="shared" si="0"/>
        <v>0.96699999999999997</v>
      </c>
      <c r="K129" s="223">
        <f t="shared" si="1"/>
        <v>3.3000000000000002E-2</v>
      </c>
      <c r="L129" s="223">
        <f t="shared" si="2"/>
        <v>0</v>
      </c>
      <c r="M129" s="445">
        <f t="shared" ref="M129:P147" si="103">IF(YEAR($D129)&gt;M$58,0,HLOOKUP(M$58,$C$9:$F$13, YEAR($D129)-2011,FALSE))</f>
        <v>1</v>
      </c>
      <c r="N129" s="445">
        <f t="shared" si="103"/>
        <v>1.028</v>
      </c>
      <c r="O129" s="445">
        <f t="shared" si="103"/>
        <v>1.0382800000000001</v>
      </c>
      <c r="P129" s="445">
        <f t="shared" si="103"/>
        <v>1.0465862400000001</v>
      </c>
      <c r="Q129" s="440">
        <f t="shared" si="45"/>
        <v>6144.8370741879244</v>
      </c>
      <c r="R129" s="134">
        <f t="shared" si="46"/>
        <v>6144.8370741879244</v>
      </c>
      <c r="S129" s="134">
        <f t="shared" si="47"/>
        <v>6316.8925122651863</v>
      </c>
      <c r="T129" s="134">
        <f t="shared" si="48"/>
        <v>6380.0614373878389</v>
      </c>
      <c r="U129" s="1069">
        <f t="shared" si="49"/>
        <v>6431.1019288869411</v>
      </c>
      <c r="V129" s="134">
        <f>IF(H129="nee",U129,IF(G129="ja",S129*(1+$C$16)+T129*(1+$D$16)+U129,R129*(1+$B$16)+S129*(1+$C$16)+T129*(1+$D$16)+U129))</f>
        <v>6431.1019288869411</v>
      </c>
      <c r="W129" s="100">
        <f t="shared" ref="W129:Z147" si="104">IF(YEAR($D129)&lt;W$58,$C129/$I129,IF(YEAR($D129)=W$58,(13-MONTH($D129))/12*$C129/$I129,0))</f>
        <v>3413.7983745488464</v>
      </c>
      <c r="X129" s="100">
        <f t="shared" si="104"/>
        <v>20482.79024729308</v>
      </c>
      <c r="Y129" s="100">
        <f t="shared" si="104"/>
        <v>20482.79024729308</v>
      </c>
      <c r="Z129" s="151">
        <f t="shared" si="104"/>
        <v>20482.79024729308</v>
      </c>
      <c r="AA129" s="448">
        <f t="shared" si="51"/>
        <v>3413.7983745488464</v>
      </c>
      <c r="AB129" s="448">
        <f t="shared" si="52"/>
        <v>21056.308374217286</v>
      </c>
      <c r="AC129" s="448">
        <f t="shared" si="53"/>
        <v>21266.87145795946</v>
      </c>
      <c r="AD129" s="448">
        <f t="shared" si="54"/>
        <v>21437.006429623136</v>
      </c>
      <c r="AE129" s="285"/>
      <c r="AF129" s="100">
        <f t="shared" si="55"/>
        <v>611069.90904424351</v>
      </c>
      <c r="AG129" s="100">
        <f t="shared" si="56"/>
        <v>607123.55812326504</v>
      </c>
      <c r="AH129" s="100">
        <f t="shared" si="57"/>
        <v>591927.92224653834</v>
      </c>
      <c r="AI129" s="151">
        <f t="shared" si="58"/>
        <v>575226.33919488755</v>
      </c>
      <c r="AJ129" s="100">
        <f>AF129*$B$4+AA129</f>
        <v>38855.853099114967</v>
      </c>
      <c r="AK129" s="100">
        <f>AG129*$B$5+AB129</f>
        <v>42912.756466654828</v>
      </c>
      <c r="AL129" s="100">
        <f t="shared" si="61"/>
        <v>42576.276658834839</v>
      </c>
      <c r="AM129" s="151">
        <f t="shared" si="62"/>
        <v>42145.154640639084</v>
      </c>
      <c r="AN129" s="100">
        <f>IF(H129="nee",AM129,IF(G129="ja",AK129*(1+$C$16)+AL129*(1+$D$16)+AM129, AJ129*(1+$B$16)+AK129*(1+$C$16)+AL129*(1+$D$16)+AM129))</f>
        <v>42145.154640639084</v>
      </c>
      <c r="AO129" s="100">
        <f>AN129+V129</f>
        <v>48576.256569526027</v>
      </c>
      <c r="AP129" s="100">
        <f>IF(YEAR(D129)&lt;2014,$AO129*J129,0)</f>
        <v>46973.240102731666</v>
      </c>
      <c r="AQ129" s="100">
        <f>IF(YEAR(D129)&gt;2013,$AO129*J129,0)</f>
        <v>0</v>
      </c>
      <c r="AR129" s="100">
        <f>$AO129*K129</f>
        <v>1603.0164667943591</v>
      </c>
      <c r="AS129" s="100">
        <f t="shared" si="68"/>
        <v>0</v>
      </c>
    </row>
    <row r="130" spans="1:45" s="216" customFormat="1">
      <c r="A130" s="1365"/>
      <c r="B130" s="1379"/>
      <c r="C130" s="684">
        <v>307195.92048180883</v>
      </c>
      <c r="D130" s="690">
        <v>41599</v>
      </c>
      <c r="E130" s="691">
        <v>32</v>
      </c>
      <c r="F130" s="282" t="s">
        <v>876</v>
      </c>
      <c r="G130" s="687" t="s">
        <v>638</v>
      </c>
      <c r="H130" s="1060" t="s">
        <v>662</v>
      </c>
      <c r="I130" s="137">
        <f t="shared" si="20"/>
        <v>30</v>
      </c>
      <c r="J130" s="223">
        <f t="shared" si="0"/>
        <v>0.96699999999999997</v>
      </c>
      <c r="K130" s="223">
        <f t="shared" si="1"/>
        <v>3.3000000000000002E-2</v>
      </c>
      <c r="L130" s="223">
        <f t="shared" si="2"/>
        <v>0</v>
      </c>
      <c r="M130" s="445">
        <f t="shared" si="103"/>
        <v>1</v>
      </c>
      <c r="N130" s="445">
        <f t="shared" si="103"/>
        <v>1.028</v>
      </c>
      <c r="O130" s="445">
        <f t="shared" si="103"/>
        <v>1.0382800000000001</v>
      </c>
      <c r="P130" s="445">
        <f t="shared" si="103"/>
        <v>1.0465862400000001</v>
      </c>
      <c r="Q130" s="440">
        <f t="shared" si="45"/>
        <v>3071.9592048180884</v>
      </c>
      <c r="R130" s="134">
        <f t="shared" si="46"/>
        <v>3071.9592048180884</v>
      </c>
      <c r="S130" s="134">
        <f t="shared" si="47"/>
        <v>3157.9740625529948</v>
      </c>
      <c r="T130" s="134">
        <f t="shared" si="48"/>
        <v>3189.553803178525</v>
      </c>
      <c r="U130" s="1069">
        <f t="shared" si="49"/>
        <v>3215.0702336039535</v>
      </c>
      <c r="V130" s="134">
        <f t="shared" ref="V130:V147" si="105">IF(H130="nee",U130,IF(G130="ja",S130*(1+$C$16)+T130*(1+$D$16)+U130,R130*(1+$B$16)+S130*(1+$C$16)+T130*(1+$D$16)+U130))</f>
        <v>3215.0702336039535</v>
      </c>
      <c r="W130" s="100">
        <f t="shared" si="104"/>
        <v>1706.6440026767157</v>
      </c>
      <c r="X130" s="100">
        <f t="shared" si="104"/>
        <v>10239.864016060294</v>
      </c>
      <c r="Y130" s="100">
        <f t="shared" si="104"/>
        <v>10239.864016060294</v>
      </c>
      <c r="Z130" s="151">
        <f t="shared" si="104"/>
        <v>10239.864016060294</v>
      </c>
      <c r="AA130" s="448">
        <f t="shared" si="51"/>
        <v>1706.6440026767157</v>
      </c>
      <c r="AB130" s="448">
        <f t="shared" si="52"/>
        <v>10526.580208509982</v>
      </c>
      <c r="AC130" s="448">
        <f t="shared" si="53"/>
        <v>10631.846010595082</v>
      </c>
      <c r="AD130" s="448">
        <f t="shared" si="54"/>
        <v>10716.900778679843</v>
      </c>
      <c r="AE130" s="285"/>
      <c r="AF130" s="100">
        <f t="shared" si="55"/>
        <v>305489.27647913212</v>
      </c>
      <c r="AG130" s="100">
        <f t="shared" si="56"/>
        <v>303516.39601203782</v>
      </c>
      <c r="AH130" s="100">
        <f t="shared" si="57"/>
        <v>295919.71396156313</v>
      </c>
      <c r="AI130" s="151">
        <f t="shared" si="58"/>
        <v>287570.17089457583</v>
      </c>
      <c r="AJ130" s="100">
        <f t="shared" ref="AJ130:AJ147" si="106">AF130*$B$4+AA130</f>
        <v>19425.022038466381</v>
      </c>
      <c r="AK130" s="100">
        <f t="shared" ref="AK130:AK147" si="107">AG130*$B$5+AB130</f>
        <v>21453.170464943345</v>
      </c>
      <c r="AL130" s="100">
        <f t="shared" si="61"/>
        <v>21284.955713211355</v>
      </c>
      <c r="AM130" s="151">
        <f t="shared" si="62"/>
        <v>21069.426930884572</v>
      </c>
      <c r="AN130" s="100">
        <f t="shared" ref="AN130:AN147" si="108">IF(H130="nee",AM130,IF(G130="ja",AK130*(1+$C$16)+AL130*(1+$D$16)+AM130, AJ130*(1+$B$16)+AK130*(1+$C$16)+AL130*(1+$D$16)+AM130))</f>
        <v>21069.426930884572</v>
      </c>
      <c r="AO130" s="100">
        <f t="shared" ref="AO130:AO147" si="109">AN130+V130</f>
        <v>24284.497164488526</v>
      </c>
      <c r="AP130" s="100">
        <f t="shared" ref="AP130:AP147" si="110">IF(YEAR(D130)&lt;2014,$AO130*J130,0)</f>
        <v>23483.108758060403</v>
      </c>
      <c r="AQ130" s="100">
        <f t="shared" ref="AQ130:AQ147" si="111">IF(YEAR(D130)&gt;2013,$AO130*J130,0)</f>
        <v>0</v>
      </c>
      <c r="AR130" s="100">
        <f t="shared" ref="AR130:AR147" si="112">$AO130*K130</f>
        <v>801.38840642812136</v>
      </c>
      <c r="AS130" s="100">
        <f t="shared" si="68"/>
        <v>0</v>
      </c>
    </row>
    <row r="131" spans="1:45" s="216" customFormat="1">
      <c r="A131" s="688" t="s">
        <v>891</v>
      </c>
      <c r="B131" s="689" t="s">
        <v>632</v>
      </c>
      <c r="C131" s="684">
        <v>4651595.4038701877</v>
      </c>
      <c r="D131" s="690">
        <v>41296</v>
      </c>
      <c r="E131" s="691">
        <v>21</v>
      </c>
      <c r="F131" s="282" t="s">
        <v>876</v>
      </c>
      <c r="G131" s="687" t="s">
        <v>638</v>
      </c>
      <c r="H131" s="1060" t="s">
        <v>662</v>
      </c>
      <c r="I131" s="137">
        <f t="shared" si="20"/>
        <v>55</v>
      </c>
      <c r="J131" s="223">
        <f t="shared" si="0"/>
        <v>0.96699999999999997</v>
      </c>
      <c r="K131" s="223">
        <f t="shared" si="1"/>
        <v>3.3000000000000002E-2</v>
      </c>
      <c r="L131" s="223">
        <f t="shared" si="2"/>
        <v>0</v>
      </c>
      <c r="M131" s="445">
        <f t="shared" si="103"/>
        <v>1</v>
      </c>
      <c r="N131" s="445">
        <f t="shared" si="103"/>
        <v>1.028</v>
      </c>
      <c r="O131" s="445">
        <f t="shared" si="103"/>
        <v>1.0382800000000001</v>
      </c>
      <c r="P131" s="445">
        <f t="shared" si="103"/>
        <v>1.0465862400000001</v>
      </c>
      <c r="Q131" s="440">
        <f t="shared" si="45"/>
        <v>46515.954038701879</v>
      </c>
      <c r="R131" s="134">
        <f t="shared" si="46"/>
        <v>46515.954038701879</v>
      </c>
      <c r="S131" s="134">
        <f t="shared" si="47"/>
        <v>47818.400751785535</v>
      </c>
      <c r="T131" s="134">
        <f t="shared" si="48"/>
        <v>48296.58475930339</v>
      </c>
      <c r="U131" s="1069">
        <f t="shared" si="49"/>
        <v>48682.957437377816</v>
      </c>
      <c r="V131" s="134">
        <f t="shared" si="105"/>
        <v>48682.957437377816</v>
      </c>
      <c r="W131" s="100">
        <f t="shared" si="104"/>
        <v>84574.461888548874</v>
      </c>
      <c r="X131" s="100">
        <f t="shared" si="104"/>
        <v>84574.461888548874</v>
      </c>
      <c r="Y131" s="100">
        <f t="shared" si="104"/>
        <v>84574.461888548874</v>
      </c>
      <c r="Z131" s="151">
        <f t="shared" si="104"/>
        <v>84574.461888548874</v>
      </c>
      <c r="AA131" s="448">
        <f t="shared" si="51"/>
        <v>84574.461888548874</v>
      </c>
      <c r="AB131" s="448">
        <f t="shared" si="52"/>
        <v>86942.546821428245</v>
      </c>
      <c r="AC131" s="448">
        <f t="shared" si="53"/>
        <v>87811.972289642537</v>
      </c>
      <c r="AD131" s="448">
        <f t="shared" si="54"/>
        <v>88514.468067959679</v>
      </c>
      <c r="AE131" s="285"/>
      <c r="AF131" s="100">
        <f t="shared" si="55"/>
        <v>4567020.9419816388</v>
      </c>
      <c r="AG131" s="100">
        <f t="shared" si="56"/>
        <v>4607954.9815356964</v>
      </c>
      <c r="AH131" s="100">
        <f t="shared" si="57"/>
        <v>4566222.5590614108</v>
      </c>
      <c r="AI131" s="151">
        <f t="shared" si="58"/>
        <v>4514237.8714659419</v>
      </c>
      <c r="AJ131" s="100">
        <f t="shared" si="106"/>
        <v>349461.67652348394</v>
      </c>
      <c r="AK131" s="100">
        <f t="shared" si="107"/>
        <v>252828.92615671328</v>
      </c>
      <c r="AL131" s="100">
        <f t="shared" si="61"/>
        <v>252195.98441585334</v>
      </c>
      <c r="AM131" s="151">
        <f t="shared" si="62"/>
        <v>251027.03144073358</v>
      </c>
      <c r="AN131" s="100">
        <f t="shared" si="108"/>
        <v>251027.03144073358</v>
      </c>
      <c r="AO131" s="100">
        <f t="shared" si="109"/>
        <v>299709.98887811141</v>
      </c>
      <c r="AP131" s="100">
        <f t="shared" si="110"/>
        <v>289819.55924513371</v>
      </c>
      <c r="AQ131" s="100">
        <f t="shared" si="111"/>
        <v>0</v>
      </c>
      <c r="AR131" s="100">
        <f t="shared" si="112"/>
        <v>9890.4296329776771</v>
      </c>
      <c r="AS131" s="100">
        <f t="shared" si="68"/>
        <v>0</v>
      </c>
    </row>
    <row r="132" spans="1:45" s="216" customFormat="1">
      <c r="A132" s="688" t="s">
        <v>891</v>
      </c>
      <c r="B132" s="689" t="s">
        <v>633</v>
      </c>
      <c r="C132" s="684">
        <v>226996.57132472197</v>
      </c>
      <c r="D132" s="690">
        <v>41296</v>
      </c>
      <c r="E132" s="691">
        <v>1</v>
      </c>
      <c r="F132" s="282" t="s">
        <v>876</v>
      </c>
      <c r="G132" s="687" t="s">
        <v>638</v>
      </c>
      <c r="H132" s="1060" t="s">
        <v>662</v>
      </c>
      <c r="I132" s="137">
        <f t="shared" si="20"/>
        <v>55</v>
      </c>
      <c r="J132" s="223">
        <f t="shared" si="0"/>
        <v>0.96699999999999997</v>
      </c>
      <c r="K132" s="223">
        <f t="shared" si="1"/>
        <v>3.3000000000000002E-2</v>
      </c>
      <c r="L132" s="223">
        <f t="shared" si="2"/>
        <v>0</v>
      </c>
      <c r="M132" s="445">
        <f t="shared" si="103"/>
        <v>1</v>
      </c>
      <c r="N132" s="445">
        <f t="shared" si="103"/>
        <v>1.028</v>
      </c>
      <c r="O132" s="445">
        <f t="shared" si="103"/>
        <v>1.0382800000000001</v>
      </c>
      <c r="P132" s="445">
        <f t="shared" si="103"/>
        <v>1.0465862400000001</v>
      </c>
      <c r="Q132" s="440">
        <f t="shared" si="45"/>
        <v>2269.9657132472198</v>
      </c>
      <c r="R132" s="134">
        <f t="shared" si="46"/>
        <v>2269.9657132472198</v>
      </c>
      <c r="S132" s="134">
        <f t="shared" si="47"/>
        <v>2333.524753218142</v>
      </c>
      <c r="T132" s="134">
        <f t="shared" si="48"/>
        <v>2356.8600007503237</v>
      </c>
      <c r="U132" s="1069">
        <f t="shared" si="49"/>
        <v>2375.7148807563262</v>
      </c>
      <c r="V132" s="134">
        <f t="shared" si="105"/>
        <v>2375.7148807563262</v>
      </c>
      <c r="W132" s="100">
        <f t="shared" si="104"/>
        <v>4127.210387722218</v>
      </c>
      <c r="X132" s="100">
        <f t="shared" si="104"/>
        <v>4127.210387722218</v>
      </c>
      <c r="Y132" s="100">
        <f t="shared" si="104"/>
        <v>4127.210387722218</v>
      </c>
      <c r="Z132" s="151">
        <f t="shared" si="104"/>
        <v>4127.210387722218</v>
      </c>
      <c r="AA132" s="448">
        <f t="shared" si="51"/>
        <v>4127.210387722218</v>
      </c>
      <c r="AB132" s="448">
        <f t="shared" si="52"/>
        <v>4242.7722785784399</v>
      </c>
      <c r="AC132" s="448">
        <f t="shared" si="53"/>
        <v>4285.2000013642246</v>
      </c>
      <c r="AD132" s="448">
        <f t="shared" si="54"/>
        <v>4319.4816013751388</v>
      </c>
      <c r="AE132" s="285"/>
      <c r="AF132" s="100">
        <f t="shared" si="55"/>
        <v>222869.36093699976</v>
      </c>
      <c r="AG132" s="100">
        <f t="shared" si="56"/>
        <v>224866.93076465733</v>
      </c>
      <c r="AH132" s="100">
        <f t="shared" si="57"/>
        <v>222830.40007093968</v>
      </c>
      <c r="AI132" s="151">
        <f t="shared" si="58"/>
        <v>220293.56167013207</v>
      </c>
      <c r="AJ132" s="100">
        <f t="shared" si="106"/>
        <v>17053.633322068206</v>
      </c>
      <c r="AK132" s="100">
        <f t="shared" si="107"/>
        <v>12337.981786106102</v>
      </c>
      <c r="AL132" s="100">
        <f t="shared" si="61"/>
        <v>12307.094403918052</v>
      </c>
      <c r="AM132" s="151">
        <f t="shared" si="62"/>
        <v>12250.049821499892</v>
      </c>
      <c r="AN132" s="100">
        <f t="shared" si="108"/>
        <v>12250.049821499892</v>
      </c>
      <c r="AO132" s="100">
        <f t="shared" si="109"/>
        <v>14625.764702256218</v>
      </c>
      <c r="AP132" s="100">
        <f t="shared" si="110"/>
        <v>14143.114467081763</v>
      </c>
      <c r="AQ132" s="100">
        <f t="shared" si="111"/>
        <v>0</v>
      </c>
      <c r="AR132" s="100">
        <f t="shared" si="112"/>
        <v>482.65023517445519</v>
      </c>
      <c r="AS132" s="100">
        <f t="shared" si="68"/>
        <v>0</v>
      </c>
    </row>
    <row r="133" spans="1:45" s="216" customFormat="1">
      <c r="A133" s="688" t="s">
        <v>891</v>
      </c>
      <c r="B133" s="689" t="s">
        <v>879</v>
      </c>
      <c r="C133" s="684">
        <v>412723.50901168305</v>
      </c>
      <c r="D133" s="690">
        <v>41296</v>
      </c>
      <c r="E133" s="691">
        <v>34</v>
      </c>
      <c r="F133" s="282" t="s">
        <v>876</v>
      </c>
      <c r="G133" s="687" t="s">
        <v>638</v>
      </c>
      <c r="H133" s="1060" t="s">
        <v>662</v>
      </c>
      <c r="I133" s="137">
        <f t="shared" si="20"/>
        <v>30</v>
      </c>
      <c r="J133" s="223">
        <f t="shared" si="0"/>
        <v>0.96699999999999997</v>
      </c>
      <c r="K133" s="223">
        <f t="shared" si="1"/>
        <v>3.3000000000000002E-2</v>
      </c>
      <c r="L133" s="223">
        <f t="shared" si="2"/>
        <v>0</v>
      </c>
      <c r="M133" s="445">
        <f t="shared" si="103"/>
        <v>1</v>
      </c>
      <c r="N133" s="445">
        <f t="shared" si="103"/>
        <v>1.028</v>
      </c>
      <c r="O133" s="445">
        <f t="shared" si="103"/>
        <v>1.0382800000000001</v>
      </c>
      <c r="P133" s="445">
        <f t="shared" si="103"/>
        <v>1.0465862400000001</v>
      </c>
      <c r="Q133" s="440">
        <f t="shared" si="45"/>
        <v>4127.2350901168302</v>
      </c>
      <c r="R133" s="134">
        <f t="shared" si="46"/>
        <v>4127.2350901168302</v>
      </c>
      <c r="S133" s="134">
        <f t="shared" si="47"/>
        <v>4242.7976726401012</v>
      </c>
      <c r="T133" s="134">
        <f t="shared" si="48"/>
        <v>4285.2256493665027</v>
      </c>
      <c r="U133" s="1069">
        <f t="shared" si="49"/>
        <v>4319.5074545614352</v>
      </c>
      <c r="V133" s="134">
        <f t="shared" si="105"/>
        <v>4319.5074545614352</v>
      </c>
      <c r="W133" s="100">
        <f t="shared" si="104"/>
        <v>13757.450300389435</v>
      </c>
      <c r="X133" s="100">
        <f t="shared" si="104"/>
        <v>13757.450300389435</v>
      </c>
      <c r="Y133" s="100">
        <f t="shared" si="104"/>
        <v>13757.450300389435</v>
      </c>
      <c r="Z133" s="151">
        <f t="shared" si="104"/>
        <v>13757.450300389435</v>
      </c>
      <c r="AA133" s="448">
        <f t="shared" si="51"/>
        <v>13757.450300389435</v>
      </c>
      <c r="AB133" s="448">
        <f t="shared" si="52"/>
        <v>14142.65890880034</v>
      </c>
      <c r="AC133" s="448">
        <f t="shared" si="53"/>
        <v>14284.085497888344</v>
      </c>
      <c r="AD133" s="448">
        <f t="shared" si="54"/>
        <v>14398.35818187145</v>
      </c>
      <c r="AE133" s="285"/>
      <c r="AF133" s="100">
        <f t="shared" si="55"/>
        <v>398966.05871129362</v>
      </c>
      <c r="AG133" s="100">
        <f t="shared" si="56"/>
        <v>395994.44944640953</v>
      </c>
      <c r="AH133" s="100">
        <f t="shared" si="57"/>
        <v>385670.30844298529</v>
      </c>
      <c r="AI133" s="151">
        <f t="shared" si="58"/>
        <v>374357.31272865768</v>
      </c>
      <c r="AJ133" s="100">
        <f t="shared" si="106"/>
        <v>36897.481705644466</v>
      </c>
      <c r="AK133" s="100">
        <f t="shared" si="107"/>
        <v>28398.459088871081</v>
      </c>
      <c r="AL133" s="100">
        <f t="shared" si="61"/>
        <v>28168.216601835811</v>
      </c>
      <c r="AM133" s="151">
        <f t="shared" si="62"/>
        <v>27875.221440103123</v>
      </c>
      <c r="AN133" s="100">
        <f t="shared" si="108"/>
        <v>27875.221440103123</v>
      </c>
      <c r="AO133" s="100">
        <f t="shared" si="109"/>
        <v>32194.728894664557</v>
      </c>
      <c r="AP133" s="100">
        <f t="shared" si="110"/>
        <v>31132.302841140627</v>
      </c>
      <c r="AQ133" s="100">
        <f t="shared" si="111"/>
        <v>0</v>
      </c>
      <c r="AR133" s="100">
        <f t="shared" si="112"/>
        <v>1062.4260535239305</v>
      </c>
      <c r="AS133" s="100">
        <f t="shared" si="68"/>
        <v>0</v>
      </c>
    </row>
    <row r="134" spans="1:45" s="216" customFormat="1">
      <c r="A134" s="688" t="s">
        <v>891</v>
      </c>
      <c r="B134" s="689" t="s">
        <v>892</v>
      </c>
      <c r="C134" s="684">
        <v>124277.96520599999</v>
      </c>
      <c r="D134" s="690">
        <v>41821</v>
      </c>
      <c r="E134" s="691">
        <v>21</v>
      </c>
      <c r="F134" s="282" t="s">
        <v>876</v>
      </c>
      <c r="G134" s="687"/>
      <c r="H134" s="1060" t="s">
        <v>662</v>
      </c>
      <c r="I134" s="137">
        <f t="shared" si="20"/>
        <v>55</v>
      </c>
      <c r="J134" s="223">
        <f t="shared" si="0"/>
        <v>0.96699999999999997</v>
      </c>
      <c r="K134" s="223">
        <f t="shared" si="1"/>
        <v>3.3000000000000002E-2</v>
      </c>
      <c r="L134" s="223">
        <f t="shared" si="2"/>
        <v>0</v>
      </c>
      <c r="M134" s="445">
        <f t="shared" si="103"/>
        <v>0</v>
      </c>
      <c r="N134" s="445">
        <f t="shared" si="103"/>
        <v>1</v>
      </c>
      <c r="O134" s="445">
        <f t="shared" si="103"/>
        <v>1.01</v>
      </c>
      <c r="P134" s="445">
        <f t="shared" si="103"/>
        <v>1.0180800000000001</v>
      </c>
      <c r="Q134" s="440">
        <f t="shared" si="45"/>
        <v>1242.77965206</v>
      </c>
      <c r="R134" s="134">
        <f t="shared" si="46"/>
        <v>0</v>
      </c>
      <c r="S134" s="134">
        <f t="shared" si="47"/>
        <v>1242.77965206</v>
      </c>
      <c r="T134" s="134">
        <f t="shared" si="48"/>
        <v>1255.2074485805999</v>
      </c>
      <c r="U134" s="1069">
        <f t="shared" si="49"/>
        <v>1265.2491081692449</v>
      </c>
      <c r="V134" s="134">
        <f t="shared" si="105"/>
        <v>1265.2491081692449</v>
      </c>
      <c r="W134" s="100">
        <f t="shared" si="104"/>
        <v>0</v>
      </c>
      <c r="X134" s="100">
        <f t="shared" si="104"/>
        <v>1129.799683690909</v>
      </c>
      <c r="Y134" s="100">
        <f t="shared" si="104"/>
        <v>2259.599367381818</v>
      </c>
      <c r="Z134" s="151">
        <f t="shared" si="104"/>
        <v>2259.599367381818</v>
      </c>
      <c r="AA134" s="448">
        <f t="shared" si="51"/>
        <v>0</v>
      </c>
      <c r="AB134" s="448">
        <f t="shared" si="52"/>
        <v>1129.799683690909</v>
      </c>
      <c r="AC134" s="448">
        <f t="shared" si="53"/>
        <v>2282.1953610556361</v>
      </c>
      <c r="AD134" s="448">
        <f t="shared" si="54"/>
        <v>2300.4529239440812</v>
      </c>
      <c r="AE134" s="285"/>
      <c r="AF134" s="100">
        <f t="shared" si="55"/>
        <v>0</v>
      </c>
      <c r="AG134" s="100">
        <f t="shared" si="56"/>
        <v>123148.16552230908</v>
      </c>
      <c r="AH134" s="100">
        <f t="shared" si="57"/>
        <v>122097.45181647653</v>
      </c>
      <c r="AI134" s="151">
        <f t="shared" si="58"/>
        <v>120773.77850706427</v>
      </c>
      <c r="AJ134" s="100">
        <f t="shared" si="106"/>
        <v>0</v>
      </c>
      <c r="AK134" s="100">
        <f t="shared" si="107"/>
        <v>5563.1336424940355</v>
      </c>
      <c r="AL134" s="100">
        <f t="shared" si="61"/>
        <v>6677.7036264487906</v>
      </c>
      <c r="AM134" s="151">
        <f t="shared" si="62"/>
        <v>6648.3089501983941</v>
      </c>
      <c r="AN134" s="100">
        <f t="shared" si="108"/>
        <v>6648.3089501983941</v>
      </c>
      <c r="AO134" s="100">
        <f t="shared" si="109"/>
        <v>7913.5580583676392</v>
      </c>
      <c r="AP134" s="100">
        <f t="shared" si="110"/>
        <v>0</v>
      </c>
      <c r="AQ134" s="100">
        <f t="shared" si="111"/>
        <v>7652.4106424415068</v>
      </c>
      <c r="AR134" s="100">
        <f t="shared" si="112"/>
        <v>261.14741592613211</v>
      </c>
      <c r="AS134" s="100">
        <f t="shared" si="68"/>
        <v>0</v>
      </c>
    </row>
    <row r="135" spans="1:45" s="216" customFormat="1">
      <c r="A135" s="688" t="s">
        <v>891</v>
      </c>
      <c r="B135" s="689" t="s">
        <v>893</v>
      </c>
      <c r="C135" s="684">
        <v>6064.7886856000005</v>
      </c>
      <c r="D135" s="690">
        <v>41821</v>
      </c>
      <c r="E135" s="691">
        <v>1</v>
      </c>
      <c r="F135" s="282" t="s">
        <v>876</v>
      </c>
      <c r="G135" s="687"/>
      <c r="H135" s="1060" t="s">
        <v>662</v>
      </c>
      <c r="I135" s="137">
        <f t="shared" si="20"/>
        <v>55</v>
      </c>
      <c r="J135" s="223">
        <f t="shared" si="0"/>
        <v>0.96699999999999997</v>
      </c>
      <c r="K135" s="223">
        <f t="shared" si="1"/>
        <v>3.3000000000000002E-2</v>
      </c>
      <c r="L135" s="223">
        <f t="shared" si="2"/>
        <v>0</v>
      </c>
      <c r="M135" s="445">
        <f t="shared" si="103"/>
        <v>0</v>
      </c>
      <c r="N135" s="445">
        <f t="shared" si="103"/>
        <v>1</v>
      </c>
      <c r="O135" s="445">
        <f t="shared" si="103"/>
        <v>1.01</v>
      </c>
      <c r="P135" s="445">
        <f t="shared" si="103"/>
        <v>1.0180800000000001</v>
      </c>
      <c r="Q135" s="440">
        <f t="shared" si="45"/>
        <v>60.647886856000007</v>
      </c>
      <c r="R135" s="134">
        <f t="shared" si="46"/>
        <v>0</v>
      </c>
      <c r="S135" s="134">
        <f t="shared" si="47"/>
        <v>60.647886856000007</v>
      </c>
      <c r="T135" s="134">
        <f t="shared" si="48"/>
        <v>61.25436572456001</v>
      </c>
      <c r="U135" s="1069">
        <f t="shared" si="49"/>
        <v>61.744400650356489</v>
      </c>
      <c r="V135" s="134">
        <f t="shared" si="105"/>
        <v>61.744400650356489</v>
      </c>
      <c r="W135" s="100">
        <f t="shared" si="104"/>
        <v>0</v>
      </c>
      <c r="X135" s="100">
        <f t="shared" si="104"/>
        <v>55.134442596363641</v>
      </c>
      <c r="Y135" s="100">
        <f t="shared" si="104"/>
        <v>110.26888519272728</v>
      </c>
      <c r="Z135" s="151">
        <f t="shared" si="104"/>
        <v>110.26888519272728</v>
      </c>
      <c r="AA135" s="448">
        <f t="shared" si="51"/>
        <v>0</v>
      </c>
      <c r="AB135" s="448">
        <f t="shared" si="52"/>
        <v>55.134442596363641</v>
      </c>
      <c r="AC135" s="448">
        <f t="shared" si="53"/>
        <v>111.37157404465455</v>
      </c>
      <c r="AD135" s="448">
        <f t="shared" si="54"/>
        <v>112.26254663701181</v>
      </c>
      <c r="AE135" s="285"/>
      <c r="AF135" s="100">
        <f t="shared" si="55"/>
        <v>0</v>
      </c>
      <c r="AG135" s="100">
        <f t="shared" si="56"/>
        <v>6009.654243003637</v>
      </c>
      <c r="AH135" s="100">
        <f t="shared" si="57"/>
        <v>5958.3792113890195</v>
      </c>
      <c r="AI135" s="151">
        <f t="shared" si="58"/>
        <v>5893.7836984431196</v>
      </c>
      <c r="AJ135" s="100">
        <f t="shared" si="106"/>
        <v>0</v>
      </c>
      <c r="AK135" s="100">
        <f t="shared" si="107"/>
        <v>271.48199534449452</v>
      </c>
      <c r="AL135" s="100">
        <f t="shared" si="61"/>
        <v>325.87322565465922</v>
      </c>
      <c r="AM135" s="151">
        <f t="shared" si="62"/>
        <v>324.43875978096412</v>
      </c>
      <c r="AN135" s="100">
        <f t="shared" si="108"/>
        <v>324.43875978096412</v>
      </c>
      <c r="AO135" s="100">
        <f t="shared" si="109"/>
        <v>386.18316043132063</v>
      </c>
      <c r="AP135" s="100">
        <f t="shared" si="110"/>
        <v>0</v>
      </c>
      <c r="AQ135" s="100">
        <f t="shared" si="111"/>
        <v>373.43911613708701</v>
      </c>
      <c r="AR135" s="100">
        <f t="shared" si="112"/>
        <v>12.744044294233582</v>
      </c>
      <c r="AS135" s="100">
        <f t="shared" si="68"/>
        <v>0</v>
      </c>
    </row>
    <row r="136" spans="1:45" s="216" customFormat="1">
      <c r="A136" s="688" t="s">
        <v>891</v>
      </c>
      <c r="B136" s="689" t="s">
        <v>894</v>
      </c>
      <c r="C136" s="684">
        <v>11026.73053828</v>
      </c>
      <c r="D136" s="690">
        <v>41821</v>
      </c>
      <c r="E136" s="691">
        <v>34</v>
      </c>
      <c r="F136" s="282" t="s">
        <v>876</v>
      </c>
      <c r="G136" s="687"/>
      <c r="H136" s="1060" t="s">
        <v>662</v>
      </c>
      <c r="I136" s="137">
        <f t="shared" ref="I136:I187" si="113">VLOOKUP($E136,$B$20:$E$54,2,FALSE)</f>
        <v>30</v>
      </c>
      <c r="J136" s="223">
        <f t="shared" si="0"/>
        <v>0.96699999999999997</v>
      </c>
      <c r="K136" s="223">
        <f t="shared" si="1"/>
        <v>3.3000000000000002E-2</v>
      </c>
      <c r="L136" s="223">
        <f t="shared" si="2"/>
        <v>0</v>
      </c>
      <c r="M136" s="445">
        <f t="shared" si="103"/>
        <v>0</v>
      </c>
      <c r="N136" s="445">
        <f t="shared" si="103"/>
        <v>1</v>
      </c>
      <c r="O136" s="445">
        <f t="shared" si="103"/>
        <v>1.01</v>
      </c>
      <c r="P136" s="445">
        <f t="shared" si="103"/>
        <v>1.0180800000000001</v>
      </c>
      <c r="Q136" s="440">
        <f t="shared" si="45"/>
        <v>110.2673053828</v>
      </c>
      <c r="R136" s="134">
        <f t="shared" si="46"/>
        <v>0</v>
      </c>
      <c r="S136" s="134">
        <f t="shared" si="47"/>
        <v>110.2673053828</v>
      </c>
      <c r="T136" s="134">
        <f t="shared" si="48"/>
        <v>111.369978436628</v>
      </c>
      <c r="U136" s="1069">
        <f t="shared" si="49"/>
        <v>112.26093826412104</v>
      </c>
      <c r="V136" s="134">
        <f t="shared" si="105"/>
        <v>112.26093826412104</v>
      </c>
      <c r="W136" s="100">
        <f t="shared" si="104"/>
        <v>0</v>
      </c>
      <c r="X136" s="100">
        <f t="shared" si="104"/>
        <v>183.77884230466668</v>
      </c>
      <c r="Y136" s="100">
        <f t="shared" si="104"/>
        <v>367.55768460933336</v>
      </c>
      <c r="Z136" s="151">
        <f t="shared" si="104"/>
        <v>367.55768460933336</v>
      </c>
      <c r="AA136" s="448">
        <f t="shared" si="51"/>
        <v>0</v>
      </c>
      <c r="AB136" s="448">
        <f t="shared" si="52"/>
        <v>183.77884230466668</v>
      </c>
      <c r="AC136" s="448">
        <f t="shared" si="53"/>
        <v>371.23326145542671</v>
      </c>
      <c r="AD136" s="448">
        <f t="shared" si="54"/>
        <v>374.20312754707015</v>
      </c>
      <c r="AE136" s="285"/>
      <c r="AF136" s="100">
        <f t="shared" si="55"/>
        <v>0</v>
      </c>
      <c r="AG136" s="100">
        <f t="shared" si="56"/>
        <v>10842.951695975335</v>
      </c>
      <c r="AH136" s="100">
        <f t="shared" si="57"/>
        <v>10580.147951479661</v>
      </c>
      <c r="AI136" s="151">
        <f t="shared" si="58"/>
        <v>10290.586007544427</v>
      </c>
      <c r="AJ136" s="100">
        <f t="shared" si="106"/>
        <v>0</v>
      </c>
      <c r="AK136" s="100">
        <f t="shared" si="107"/>
        <v>574.12510335977868</v>
      </c>
      <c r="AL136" s="100">
        <f t="shared" si="61"/>
        <v>752.11858770869446</v>
      </c>
      <c r="AM136" s="151">
        <f t="shared" si="62"/>
        <v>744.66422381866948</v>
      </c>
      <c r="AN136" s="100">
        <f t="shared" si="108"/>
        <v>744.66422381866948</v>
      </c>
      <c r="AO136" s="100">
        <f t="shared" si="109"/>
        <v>856.92516208279051</v>
      </c>
      <c r="AP136" s="100">
        <f t="shared" si="110"/>
        <v>0</v>
      </c>
      <c r="AQ136" s="100">
        <f t="shared" si="111"/>
        <v>828.64663173405836</v>
      </c>
      <c r="AR136" s="100">
        <f t="shared" si="112"/>
        <v>28.278530348732087</v>
      </c>
      <c r="AS136" s="100">
        <f t="shared" si="68"/>
        <v>0</v>
      </c>
    </row>
    <row r="137" spans="1:45" s="216" customFormat="1">
      <c r="A137" s="688" t="s">
        <v>895</v>
      </c>
      <c r="B137" s="689" t="s">
        <v>881</v>
      </c>
      <c r="C137" s="684">
        <v>3230998.4343904322</v>
      </c>
      <c r="D137" s="690">
        <v>41453</v>
      </c>
      <c r="E137" s="691">
        <v>17</v>
      </c>
      <c r="F137" s="282" t="s">
        <v>876</v>
      </c>
      <c r="G137" s="687" t="s">
        <v>638</v>
      </c>
      <c r="H137" s="1060" t="s">
        <v>662</v>
      </c>
      <c r="I137" s="137">
        <f t="shared" si="113"/>
        <v>30</v>
      </c>
      <c r="J137" s="223">
        <f t="shared" si="0"/>
        <v>0</v>
      </c>
      <c r="K137" s="223">
        <f t="shared" si="1"/>
        <v>0</v>
      </c>
      <c r="L137" s="223">
        <f t="shared" si="2"/>
        <v>1</v>
      </c>
      <c r="M137" s="445">
        <f t="shared" si="103"/>
        <v>1</v>
      </c>
      <c r="N137" s="445">
        <f t="shared" si="103"/>
        <v>1.028</v>
      </c>
      <c r="O137" s="445">
        <f t="shared" si="103"/>
        <v>1.0382800000000001</v>
      </c>
      <c r="P137" s="445">
        <f t="shared" si="103"/>
        <v>1.0465862400000001</v>
      </c>
      <c r="Q137" s="440">
        <f t="shared" si="45"/>
        <v>32309.984343904322</v>
      </c>
      <c r="R137" s="134">
        <f t="shared" si="46"/>
        <v>32309.984343904322</v>
      </c>
      <c r="S137" s="134">
        <f t="shared" si="47"/>
        <v>33214.663905533642</v>
      </c>
      <c r="T137" s="134">
        <f t="shared" si="48"/>
        <v>33546.810544588981</v>
      </c>
      <c r="U137" s="1069">
        <f t="shared" si="49"/>
        <v>33815.185028945692</v>
      </c>
      <c r="V137" s="134">
        <f t="shared" si="105"/>
        <v>33815.185028945692</v>
      </c>
      <c r="W137" s="100">
        <f t="shared" si="104"/>
        <v>62824.969557591743</v>
      </c>
      <c r="X137" s="100">
        <f t="shared" si="104"/>
        <v>107699.94781301441</v>
      </c>
      <c r="Y137" s="100">
        <f t="shared" si="104"/>
        <v>107699.94781301441</v>
      </c>
      <c r="Z137" s="151">
        <f t="shared" si="104"/>
        <v>107699.94781301441</v>
      </c>
      <c r="AA137" s="448">
        <f t="shared" si="51"/>
        <v>62824.969557591743</v>
      </c>
      <c r="AB137" s="448">
        <f t="shared" si="52"/>
        <v>110715.54635177882</v>
      </c>
      <c r="AC137" s="448">
        <f t="shared" si="53"/>
        <v>111822.70181529662</v>
      </c>
      <c r="AD137" s="448">
        <f t="shared" si="54"/>
        <v>112717.28342981898</v>
      </c>
      <c r="AE137" s="285"/>
      <c r="AF137" s="100">
        <f t="shared" si="55"/>
        <v>3168173.4648328405</v>
      </c>
      <c r="AG137" s="100">
        <f t="shared" si="56"/>
        <v>3146166.7754963813</v>
      </c>
      <c r="AH137" s="100">
        <f t="shared" si="57"/>
        <v>3065805.7414360489</v>
      </c>
      <c r="AI137" s="151">
        <f t="shared" si="58"/>
        <v>2977614.9039377179</v>
      </c>
      <c r="AJ137" s="100">
        <f t="shared" si="106"/>
        <v>246579.03051789649</v>
      </c>
      <c r="AK137" s="100">
        <f t="shared" si="107"/>
        <v>223977.55026964855</v>
      </c>
      <c r="AL137" s="100">
        <f t="shared" si="61"/>
        <v>222191.70850699436</v>
      </c>
      <c r="AM137" s="151">
        <f t="shared" si="62"/>
        <v>219911.41997157683</v>
      </c>
      <c r="AN137" s="100">
        <f t="shared" si="108"/>
        <v>219911.41997157683</v>
      </c>
      <c r="AO137" s="100">
        <f t="shared" si="109"/>
        <v>253726.60500052251</v>
      </c>
      <c r="AP137" s="100">
        <f t="shared" si="110"/>
        <v>0</v>
      </c>
      <c r="AQ137" s="100">
        <f t="shared" si="111"/>
        <v>0</v>
      </c>
      <c r="AR137" s="100">
        <f t="shared" si="112"/>
        <v>0</v>
      </c>
      <c r="AS137" s="100">
        <f t="shared" si="68"/>
        <v>253726.60500052251</v>
      </c>
    </row>
    <row r="138" spans="1:45" s="216" customFormat="1">
      <c r="A138" s="688" t="s">
        <v>895</v>
      </c>
      <c r="B138" s="689" t="s">
        <v>883</v>
      </c>
      <c r="C138" s="684">
        <v>94650.662523999999</v>
      </c>
      <c r="D138" s="690">
        <v>41821</v>
      </c>
      <c r="E138" s="691">
        <v>17</v>
      </c>
      <c r="F138" s="282" t="s">
        <v>876</v>
      </c>
      <c r="G138" s="687"/>
      <c r="H138" s="1060" t="s">
        <v>662</v>
      </c>
      <c r="I138" s="137">
        <f t="shared" si="113"/>
        <v>30</v>
      </c>
      <c r="J138" s="223">
        <f t="shared" si="0"/>
        <v>0</v>
      </c>
      <c r="K138" s="223">
        <f t="shared" si="1"/>
        <v>0</v>
      </c>
      <c r="L138" s="223">
        <f t="shared" si="2"/>
        <v>1</v>
      </c>
      <c r="M138" s="445">
        <f t="shared" si="103"/>
        <v>0</v>
      </c>
      <c r="N138" s="445">
        <f t="shared" si="103"/>
        <v>1</v>
      </c>
      <c r="O138" s="445">
        <f t="shared" si="103"/>
        <v>1.01</v>
      </c>
      <c r="P138" s="445">
        <f t="shared" si="103"/>
        <v>1.0180800000000001</v>
      </c>
      <c r="Q138" s="440">
        <f t="shared" si="45"/>
        <v>946.50662524000006</v>
      </c>
      <c r="R138" s="134">
        <f t="shared" si="46"/>
        <v>0</v>
      </c>
      <c r="S138" s="134">
        <f t="shared" si="47"/>
        <v>946.50662524000006</v>
      </c>
      <c r="T138" s="134">
        <f t="shared" si="48"/>
        <v>955.97169149240005</v>
      </c>
      <c r="U138" s="1069">
        <f t="shared" si="49"/>
        <v>963.61946502433932</v>
      </c>
      <c r="V138" s="134">
        <f t="shared" si="105"/>
        <v>963.61946502433932</v>
      </c>
      <c r="W138" s="100">
        <f t="shared" si="104"/>
        <v>0</v>
      </c>
      <c r="X138" s="100">
        <f t="shared" si="104"/>
        <v>1577.5110420666667</v>
      </c>
      <c r="Y138" s="100">
        <f t="shared" si="104"/>
        <v>3155.0220841333335</v>
      </c>
      <c r="Z138" s="151">
        <f t="shared" si="104"/>
        <v>3155.0220841333335</v>
      </c>
      <c r="AA138" s="448">
        <f t="shared" si="51"/>
        <v>0</v>
      </c>
      <c r="AB138" s="448">
        <f t="shared" si="52"/>
        <v>1577.5110420666667</v>
      </c>
      <c r="AC138" s="448">
        <f t="shared" si="53"/>
        <v>3186.5723049746666</v>
      </c>
      <c r="AD138" s="448">
        <f t="shared" si="54"/>
        <v>3212.0648834144645</v>
      </c>
      <c r="AE138" s="285"/>
      <c r="AF138" s="100">
        <f t="shared" si="55"/>
        <v>0</v>
      </c>
      <c r="AG138" s="100">
        <f t="shared" si="56"/>
        <v>93073.151481933339</v>
      </c>
      <c r="AH138" s="100">
        <f t="shared" si="57"/>
        <v>90817.310691777995</v>
      </c>
      <c r="AI138" s="151">
        <f t="shared" si="58"/>
        <v>88331.784293897756</v>
      </c>
      <c r="AJ138" s="100">
        <f t="shared" si="106"/>
        <v>0</v>
      </c>
      <c r="AK138" s="100">
        <f t="shared" si="107"/>
        <v>4928.1444954162671</v>
      </c>
      <c r="AL138" s="100">
        <f t="shared" si="61"/>
        <v>6455.9954898786746</v>
      </c>
      <c r="AM138" s="151">
        <f t="shared" si="62"/>
        <v>6392.0091179947831</v>
      </c>
      <c r="AN138" s="100">
        <f t="shared" si="108"/>
        <v>6392.0091179947831</v>
      </c>
      <c r="AO138" s="100">
        <f t="shared" si="109"/>
        <v>7355.6285830191227</v>
      </c>
      <c r="AP138" s="100">
        <f t="shared" si="110"/>
        <v>0</v>
      </c>
      <c r="AQ138" s="100">
        <f t="shared" si="111"/>
        <v>0</v>
      </c>
      <c r="AR138" s="100">
        <f t="shared" si="112"/>
        <v>0</v>
      </c>
      <c r="AS138" s="100">
        <f t="shared" si="68"/>
        <v>7355.6285830191227</v>
      </c>
    </row>
    <row r="139" spans="1:45" s="216" customFormat="1">
      <c r="A139" s="688" t="s">
        <v>1226</v>
      </c>
      <c r="B139" s="689" t="s">
        <v>634</v>
      </c>
      <c r="C139" s="684">
        <v>120897.372267345</v>
      </c>
      <c r="D139" s="690">
        <v>41456</v>
      </c>
      <c r="E139" s="691">
        <v>21</v>
      </c>
      <c r="F139" s="282" t="s">
        <v>876</v>
      </c>
      <c r="G139" s="687" t="s">
        <v>662</v>
      </c>
      <c r="H139" s="1060" t="s">
        <v>662</v>
      </c>
      <c r="I139" s="137">
        <f t="shared" si="113"/>
        <v>55</v>
      </c>
      <c r="J139" s="223">
        <f t="shared" si="0"/>
        <v>0.96699999999999997</v>
      </c>
      <c r="K139" s="223">
        <f t="shared" si="1"/>
        <v>3.3000000000000002E-2</v>
      </c>
      <c r="L139" s="223">
        <f t="shared" si="2"/>
        <v>0</v>
      </c>
      <c r="M139" s="445">
        <f t="shared" si="103"/>
        <v>1</v>
      </c>
      <c r="N139" s="445">
        <f t="shared" si="103"/>
        <v>1.028</v>
      </c>
      <c r="O139" s="445">
        <f t="shared" si="103"/>
        <v>1.0382800000000001</v>
      </c>
      <c r="P139" s="445">
        <f t="shared" si="103"/>
        <v>1.0465862400000001</v>
      </c>
      <c r="Q139" s="440">
        <f t="shared" si="45"/>
        <v>1208.9737226734501</v>
      </c>
      <c r="R139" s="134">
        <f t="shared" si="46"/>
        <v>1208.9737226734501</v>
      </c>
      <c r="S139" s="134">
        <f t="shared" si="47"/>
        <v>1242.8249869083068</v>
      </c>
      <c r="T139" s="134">
        <f t="shared" si="48"/>
        <v>1255.2532367773899</v>
      </c>
      <c r="U139" s="1069">
        <f t="shared" si="49"/>
        <v>1265.295262671609</v>
      </c>
      <c r="V139" s="134">
        <f t="shared" si="105"/>
        <v>1265.295262671609</v>
      </c>
      <c r="W139" s="100">
        <f t="shared" si="104"/>
        <v>1099.0670206122272</v>
      </c>
      <c r="X139" s="100">
        <f t="shared" si="104"/>
        <v>2198.1340412244544</v>
      </c>
      <c r="Y139" s="100">
        <f t="shared" si="104"/>
        <v>2198.1340412244544</v>
      </c>
      <c r="Z139" s="151">
        <f t="shared" si="104"/>
        <v>2198.1340412244544</v>
      </c>
      <c r="AA139" s="448">
        <f t="shared" si="51"/>
        <v>1099.0670206122272</v>
      </c>
      <c r="AB139" s="448">
        <f t="shared" si="52"/>
        <v>2259.6817943787391</v>
      </c>
      <c r="AC139" s="448">
        <f t="shared" si="53"/>
        <v>2282.2786123225269</v>
      </c>
      <c r="AD139" s="448">
        <f t="shared" si="54"/>
        <v>2300.5368412211069</v>
      </c>
      <c r="AE139" s="285"/>
      <c r="AF139" s="100">
        <f t="shared" si="55"/>
        <v>119798.30524673277</v>
      </c>
      <c r="AG139" s="100">
        <f t="shared" si="56"/>
        <v>120892.97599926253</v>
      </c>
      <c r="AH139" s="100">
        <f t="shared" si="57"/>
        <v>119819.62714693263</v>
      </c>
      <c r="AI139" s="151">
        <f t="shared" si="58"/>
        <v>118477.64732288699</v>
      </c>
      <c r="AJ139" s="100">
        <f t="shared" si="106"/>
        <v>8047.3687249227278</v>
      </c>
      <c r="AK139" s="100">
        <f t="shared" si="107"/>
        <v>6611.8289303521897</v>
      </c>
      <c r="AL139" s="100">
        <f t="shared" si="61"/>
        <v>6595.785189612101</v>
      </c>
      <c r="AM139" s="151">
        <f t="shared" si="62"/>
        <v>6565.7321448450384</v>
      </c>
      <c r="AN139" s="100">
        <f t="shared" si="108"/>
        <v>6565.7321448450384</v>
      </c>
      <c r="AO139" s="100">
        <f t="shared" si="109"/>
        <v>7831.0274075166471</v>
      </c>
      <c r="AP139" s="100">
        <f t="shared" si="110"/>
        <v>7572.603503068598</v>
      </c>
      <c r="AQ139" s="100">
        <f t="shared" si="111"/>
        <v>0</v>
      </c>
      <c r="AR139" s="100">
        <f t="shared" si="112"/>
        <v>258.42390444804937</v>
      </c>
      <c r="AS139" s="100">
        <f t="shared" si="68"/>
        <v>0</v>
      </c>
    </row>
    <row r="140" spans="1:45" s="216" customFormat="1">
      <c r="A140" s="1393" t="s">
        <v>1226</v>
      </c>
      <c r="B140" s="689" t="s">
        <v>631</v>
      </c>
      <c r="C140" s="684">
        <v>343549.79753015994</v>
      </c>
      <c r="D140" s="690">
        <v>41456</v>
      </c>
      <c r="E140" s="691">
        <v>15</v>
      </c>
      <c r="F140" s="282" t="s">
        <v>876</v>
      </c>
      <c r="G140" s="687" t="s">
        <v>662</v>
      </c>
      <c r="H140" s="1060" t="s">
        <v>662</v>
      </c>
      <c r="I140" s="137">
        <f t="shared" si="113"/>
        <v>30</v>
      </c>
      <c r="J140" s="223">
        <f t="shared" si="0"/>
        <v>0.96699999999999997</v>
      </c>
      <c r="K140" s="223">
        <f t="shared" si="1"/>
        <v>3.3000000000000002E-2</v>
      </c>
      <c r="L140" s="223">
        <f t="shared" si="2"/>
        <v>0</v>
      </c>
      <c r="M140" s="445">
        <f t="shared" si="103"/>
        <v>1</v>
      </c>
      <c r="N140" s="445">
        <f t="shared" si="103"/>
        <v>1.028</v>
      </c>
      <c r="O140" s="445">
        <f t="shared" si="103"/>
        <v>1.0382800000000001</v>
      </c>
      <c r="P140" s="445">
        <f t="shared" si="103"/>
        <v>1.0465862400000001</v>
      </c>
      <c r="Q140" s="440">
        <f t="shared" si="45"/>
        <v>3435.4979753015996</v>
      </c>
      <c r="R140" s="134">
        <f t="shared" si="46"/>
        <v>3435.4979753015996</v>
      </c>
      <c r="S140" s="134">
        <f t="shared" si="47"/>
        <v>3531.6919186100445</v>
      </c>
      <c r="T140" s="134">
        <f t="shared" si="48"/>
        <v>3567.0088377961451</v>
      </c>
      <c r="U140" s="1069">
        <f t="shared" si="49"/>
        <v>3595.5449084985144</v>
      </c>
      <c r="V140" s="134">
        <f t="shared" si="105"/>
        <v>3595.5449084985144</v>
      </c>
      <c r="W140" s="100">
        <f t="shared" si="104"/>
        <v>5725.8299588359987</v>
      </c>
      <c r="X140" s="100">
        <f t="shared" si="104"/>
        <v>11451.659917671997</v>
      </c>
      <c r="Y140" s="100">
        <f t="shared" si="104"/>
        <v>11451.659917671997</v>
      </c>
      <c r="Z140" s="151">
        <f t="shared" si="104"/>
        <v>11451.659917671997</v>
      </c>
      <c r="AA140" s="448">
        <f t="shared" si="51"/>
        <v>5725.8299588359987</v>
      </c>
      <c r="AB140" s="448">
        <f t="shared" si="52"/>
        <v>11772.306395366813</v>
      </c>
      <c r="AC140" s="448">
        <f t="shared" si="53"/>
        <v>11890.029459320482</v>
      </c>
      <c r="AD140" s="448">
        <f t="shared" si="54"/>
        <v>11985.149694995047</v>
      </c>
      <c r="AE140" s="285"/>
      <c r="AF140" s="100">
        <f t="shared" si="55"/>
        <v>337823.96757132391</v>
      </c>
      <c r="AG140" s="100">
        <f t="shared" si="56"/>
        <v>335510.73226795421</v>
      </c>
      <c r="AH140" s="100">
        <f t="shared" si="57"/>
        <v>326975.81013131328</v>
      </c>
      <c r="AI140" s="151">
        <f t="shared" si="58"/>
        <v>317606.46691736876</v>
      </c>
      <c r="AJ140" s="100">
        <f t="shared" si="106"/>
        <v>25319.620077972788</v>
      </c>
      <c r="AK140" s="100">
        <f t="shared" si="107"/>
        <v>23850.692757013167</v>
      </c>
      <c r="AL140" s="100">
        <f t="shared" si="61"/>
        <v>23661.158624047759</v>
      </c>
      <c r="AM140" s="151">
        <f t="shared" si="62"/>
        <v>23418.982504020321</v>
      </c>
      <c r="AN140" s="100">
        <f t="shared" si="108"/>
        <v>23418.982504020321</v>
      </c>
      <c r="AO140" s="100">
        <f t="shared" si="109"/>
        <v>27014.527412518837</v>
      </c>
      <c r="AP140" s="100">
        <f t="shared" si="110"/>
        <v>26123.048007905716</v>
      </c>
      <c r="AQ140" s="100">
        <f t="shared" si="111"/>
        <v>0</v>
      </c>
      <c r="AR140" s="100">
        <f t="shared" si="112"/>
        <v>891.47940461312169</v>
      </c>
      <c r="AS140" s="100">
        <f t="shared" si="68"/>
        <v>0</v>
      </c>
    </row>
    <row r="141" spans="1:45" s="216" customFormat="1">
      <c r="A141" s="1393" t="s">
        <v>1226</v>
      </c>
      <c r="B141" s="689" t="s">
        <v>635</v>
      </c>
      <c r="C141" s="684">
        <v>18054.16293834</v>
      </c>
      <c r="D141" s="690">
        <v>41456</v>
      </c>
      <c r="E141" s="691">
        <v>32</v>
      </c>
      <c r="F141" s="282" t="s">
        <v>876</v>
      </c>
      <c r="G141" s="687" t="s">
        <v>662</v>
      </c>
      <c r="H141" s="1060" t="s">
        <v>662</v>
      </c>
      <c r="I141" s="137">
        <f t="shared" si="113"/>
        <v>30</v>
      </c>
      <c r="J141" s="223">
        <f t="shared" si="0"/>
        <v>0.96699999999999997</v>
      </c>
      <c r="K141" s="223">
        <f t="shared" si="1"/>
        <v>3.3000000000000002E-2</v>
      </c>
      <c r="L141" s="223">
        <f t="shared" si="2"/>
        <v>0</v>
      </c>
      <c r="M141" s="445">
        <f t="shared" si="103"/>
        <v>1</v>
      </c>
      <c r="N141" s="445">
        <f t="shared" si="103"/>
        <v>1.028</v>
      </c>
      <c r="O141" s="445">
        <f t="shared" si="103"/>
        <v>1.0382800000000001</v>
      </c>
      <c r="P141" s="445">
        <f t="shared" si="103"/>
        <v>1.0465862400000001</v>
      </c>
      <c r="Q141" s="440">
        <f t="shared" si="45"/>
        <v>180.54162938339999</v>
      </c>
      <c r="R141" s="134">
        <f t="shared" si="46"/>
        <v>180.54162938339999</v>
      </c>
      <c r="S141" s="134">
        <f t="shared" si="47"/>
        <v>185.59679500613521</v>
      </c>
      <c r="T141" s="134">
        <f t="shared" si="48"/>
        <v>187.45276295619655</v>
      </c>
      <c r="U141" s="1069">
        <f t="shared" si="49"/>
        <v>188.95238505984614</v>
      </c>
      <c r="V141" s="134">
        <f t="shared" si="105"/>
        <v>188.95238505984614</v>
      </c>
      <c r="W141" s="100">
        <f t="shared" si="104"/>
        <v>300.90271563900001</v>
      </c>
      <c r="X141" s="100">
        <f t="shared" si="104"/>
        <v>601.80543127800001</v>
      </c>
      <c r="Y141" s="100">
        <f t="shared" si="104"/>
        <v>601.80543127800001</v>
      </c>
      <c r="Z141" s="151">
        <f t="shared" si="104"/>
        <v>601.80543127800001</v>
      </c>
      <c r="AA141" s="448">
        <f t="shared" si="51"/>
        <v>300.90271563900001</v>
      </c>
      <c r="AB141" s="448">
        <f t="shared" si="52"/>
        <v>618.65598335378399</v>
      </c>
      <c r="AC141" s="448">
        <f t="shared" si="53"/>
        <v>624.84254318732189</v>
      </c>
      <c r="AD141" s="448">
        <f t="shared" si="54"/>
        <v>629.84128353282051</v>
      </c>
      <c r="AE141" s="285"/>
      <c r="AF141" s="100">
        <f t="shared" si="55"/>
        <v>17753.260222700999</v>
      </c>
      <c r="AG141" s="100">
        <f t="shared" si="56"/>
        <v>17631.695525582843</v>
      </c>
      <c r="AH141" s="100">
        <f t="shared" si="57"/>
        <v>17183.16993765135</v>
      </c>
      <c r="AI141" s="151">
        <f t="shared" si="58"/>
        <v>16690.794013619739</v>
      </c>
      <c r="AJ141" s="100">
        <f t="shared" si="106"/>
        <v>1330.591808555658</v>
      </c>
      <c r="AK141" s="100">
        <f t="shared" si="107"/>
        <v>1253.3970222747662</v>
      </c>
      <c r="AL141" s="100">
        <f t="shared" si="61"/>
        <v>1243.4366609427705</v>
      </c>
      <c r="AM141" s="151">
        <f t="shared" si="62"/>
        <v>1230.7098680231311</v>
      </c>
      <c r="AN141" s="100">
        <f t="shared" si="108"/>
        <v>1230.7098680231311</v>
      </c>
      <c r="AO141" s="100">
        <f t="shared" si="109"/>
        <v>1419.6622530829773</v>
      </c>
      <c r="AP141" s="100">
        <f t="shared" si="110"/>
        <v>1372.813398731239</v>
      </c>
      <c r="AQ141" s="100">
        <f t="shared" si="111"/>
        <v>0</v>
      </c>
      <c r="AR141" s="100">
        <f t="shared" si="112"/>
        <v>46.848854351738254</v>
      </c>
      <c r="AS141" s="100">
        <f t="shared" si="68"/>
        <v>0</v>
      </c>
    </row>
    <row r="142" spans="1:45" s="216" customFormat="1">
      <c r="A142" s="1393" t="s">
        <v>1226</v>
      </c>
      <c r="B142" s="689" t="s">
        <v>892</v>
      </c>
      <c r="C142" s="684">
        <v>877945.01202706771</v>
      </c>
      <c r="D142" s="690">
        <v>41639</v>
      </c>
      <c r="E142" s="691">
        <v>21</v>
      </c>
      <c r="F142" s="282" t="s">
        <v>876</v>
      </c>
      <c r="G142" s="687" t="s">
        <v>662</v>
      </c>
      <c r="H142" s="1060" t="s">
        <v>662</v>
      </c>
      <c r="I142" s="137">
        <f t="shared" si="113"/>
        <v>55</v>
      </c>
      <c r="J142" s="223">
        <f t="shared" si="0"/>
        <v>0.96699999999999997</v>
      </c>
      <c r="K142" s="223">
        <f t="shared" si="1"/>
        <v>3.3000000000000002E-2</v>
      </c>
      <c r="L142" s="223">
        <f t="shared" si="2"/>
        <v>0</v>
      </c>
      <c r="M142" s="445">
        <f t="shared" si="103"/>
        <v>1</v>
      </c>
      <c r="N142" s="445">
        <f t="shared" si="103"/>
        <v>1.028</v>
      </c>
      <c r="O142" s="445">
        <f t="shared" si="103"/>
        <v>1.0382800000000001</v>
      </c>
      <c r="P142" s="445">
        <f t="shared" si="103"/>
        <v>1.0465862400000001</v>
      </c>
      <c r="Q142" s="440">
        <f t="shared" si="45"/>
        <v>8779.4501202706779</v>
      </c>
      <c r="R142" s="134">
        <f t="shared" si="46"/>
        <v>8779.4501202706779</v>
      </c>
      <c r="S142" s="134">
        <f t="shared" si="47"/>
        <v>9025.2747236382565</v>
      </c>
      <c r="T142" s="134">
        <f t="shared" si="48"/>
        <v>9115.5274708746401</v>
      </c>
      <c r="U142" s="1069">
        <f t="shared" si="49"/>
        <v>9188.4516906416375</v>
      </c>
      <c r="V142" s="134">
        <f t="shared" si="105"/>
        <v>9188.4516906416375</v>
      </c>
      <c r="W142" s="100">
        <f t="shared" si="104"/>
        <v>1330.2197151925266</v>
      </c>
      <c r="X142" s="100">
        <f t="shared" si="104"/>
        <v>15962.636582310322</v>
      </c>
      <c r="Y142" s="100">
        <f t="shared" si="104"/>
        <v>15962.636582310322</v>
      </c>
      <c r="Z142" s="151">
        <f t="shared" si="104"/>
        <v>15962.636582310322</v>
      </c>
      <c r="AA142" s="448">
        <f t="shared" si="51"/>
        <v>1330.2197151925266</v>
      </c>
      <c r="AB142" s="448">
        <f t="shared" si="52"/>
        <v>16409.590406615011</v>
      </c>
      <c r="AC142" s="448">
        <f t="shared" si="53"/>
        <v>16573.686310681162</v>
      </c>
      <c r="AD142" s="448">
        <f t="shared" si="54"/>
        <v>16706.275801166612</v>
      </c>
      <c r="AE142" s="285"/>
      <c r="AF142" s="100">
        <f t="shared" si="55"/>
        <v>876614.79231187515</v>
      </c>
      <c r="AG142" s="100">
        <f t="shared" si="56"/>
        <v>884750.41608999262</v>
      </c>
      <c r="AH142" s="100">
        <f t="shared" si="57"/>
        <v>877024.23394021136</v>
      </c>
      <c r="AI142" s="151">
        <f t="shared" si="58"/>
        <v>867334.15201056644</v>
      </c>
      <c r="AJ142" s="100">
        <f t="shared" si="106"/>
        <v>52173.87766928129</v>
      </c>
      <c r="AK142" s="100">
        <f t="shared" si="107"/>
        <v>48260.605385854738</v>
      </c>
      <c r="AL142" s="100">
        <f t="shared" si="61"/>
        <v>48146.558732528763</v>
      </c>
      <c r="AM142" s="151">
        <f t="shared" si="62"/>
        <v>47930.305273546997</v>
      </c>
      <c r="AN142" s="100">
        <f t="shared" si="108"/>
        <v>47930.305273546997</v>
      </c>
      <c r="AO142" s="100">
        <f t="shared" si="109"/>
        <v>57118.756964188637</v>
      </c>
      <c r="AP142" s="100">
        <f t="shared" si="110"/>
        <v>55233.83798437041</v>
      </c>
      <c r="AQ142" s="100">
        <f t="shared" si="111"/>
        <v>0</v>
      </c>
      <c r="AR142" s="100">
        <f t="shared" si="112"/>
        <v>1884.9189798182251</v>
      </c>
      <c r="AS142" s="100">
        <f t="shared" si="68"/>
        <v>0</v>
      </c>
    </row>
    <row r="143" spans="1:45" s="216" customFormat="1">
      <c r="A143" s="1393" t="s">
        <v>1226</v>
      </c>
      <c r="B143" s="689" t="s">
        <v>887</v>
      </c>
      <c r="C143" s="684">
        <v>1285165.3589314956</v>
      </c>
      <c r="D143" s="690">
        <v>41639</v>
      </c>
      <c r="E143" s="691">
        <v>15</v>
      </c>
      <c r="F143" s="282" t="s">
        <v>876</v>
      </c>
      <c r="G143" s="687" t="s">
        <v>662</v>
      </c>
      <c r="H143" s="1060" t="s">
        <v>662</v>
      </c>
      <c r="I143" s="137">
        <f t="shared" si="113"/>
        <v>30</v>
      </c>
      <c r="J143" s="223">
        <f t="shared" si="0"/>
        <v>0.96699999999999997</v>
      </c>
      <c r="K143" s="223">
        <f t="shared" si="1"/>
        <v>3.3000000000000002E-2</v>
      </c>
      <c r="L143" s="223">
        <f t="shared" si="2"/>
        <v>0</v>
      </c>
      <c r="M143" s="445">
        <f t="shared" si="103"/>
        <v>1</v>
      </c>
      <c r="N143" s="445">
        <f t="shared" si="103"/>
        <v>1.028</v>
      </c>
      <c r="O143" s="445">
        <f t="shared" si="103"/>
        <v>1.0382800000000001</v>
      </c>
      <c r="P143" s="445">
        <f t="shared" si="103"/>
        <v>1.0465862400000001</v>
      </c>
      <c r="Q143" s="440">
        <f t="shared" si="45"/>
        <v>12851.653589314956</v>
      </c>
      <c r="R143" s="134">
        <f t="shared" si="46"/>
        <v>12851.653589314956</v>
      </c>
      <c r="S143" s="134">
        <f t="shared" si="47"/>
        <v>13211.499889815776</v>
      </c>
      <c r="T143" s="134">
        <f t="shared" si="48"/>
        <v>13343.614888713933</v>
      </c>
      <c r="U143" s="1069">
        <f t="shared" si="49"/>
        <v>13450.363807823645</v>
      </c>
      <c r="V143" s="134">
        <f t="shared" si="105"/>
        <v>13450.363807823645</v>
      </c>
      <c r="W143" s="100">
        <f t="shared" si="104"/>
        <v>3569.9037748097098</v>
      </c>
      <c r="X143" s="100">
        <f t="shared" si="104"/>
        <v>42838.845297716522</v>
      </c>
      <c r="Y143" s="100">
        <f t="shared" si="104"/>
        <v>42838.845297716522</v>
      </c>
      <c r="Z143" s="151">
        <f t="shared" si="104"/>
        <v>42838.845297716522</v>
      </c>
      <c r="AA143" s="448">
        <f t="shared" si="51"/>
        <v>3569.9037748097098</v>
      </c>
      <c r="AB143" s="448">
        <f t="shared" si="52"/>
        <v>44038.332966052585</v>
      </c>
      <c r="AC143" s="448">
        <f t="shared" si="53"/>
        <v>44478.716295713115</v>
      </c>
      <c r="AD143" s="448">
        <f t="shared" si="54"/>
        <v>44834.546026078817</v>
      </c>
      <c r="AE143" s="285"/>
      <c r="AF143" s="100">
        <f t="shared" si="55"/>
        <v>1281595.4551566858</v>
      </c>
      <c r="AG143" s="100">
        <f t="shared" si="56"/>
        <v>1273441.7949350204</v>
      </c>
      <c r="AH143" s="100">
        <f t="shared" si="57"/>
        <v>1241697.4965886576</v>
      </c>
      <c r="AI143" s="151">
        <f t="shared" si="58"/>
        <v>1206796.5305352882</v>
      </c>
      <c r="AJ143" s="100">
        <f t="shared" si="106"/>
        <v>77902.440173897485</v>
      </c>
      <c r="AK143" s="100">
        <f t="shared" si="107"/>
        <v>89882.237583713315</v>
      </c>
      <c r="AL143" s="100">
        <f t="shared" si="61"/>
        <v>89179.826172904781</v>
      </c>
      <c r="AM143" s="151">
        <f t="shared" si="62"/>
        <v>88279.221125349184</v>
      </c>
      <c r="AN143" s="100">
        <f t="shared" si="108"/>
        <v>88279.221125349184</v>
      </c>
      <c r="AO143" s="100">
        <f t="shared" si="109"/>
        <v>101729.58493317282</v>
      </c>
      <c r="AP143" s="100">
        <f t="shared" si="110"/>
        <v>98372.508630378114</v>
      </c>
      <c r="AQ143" s="100">
        <f t="shared" si="111"/>
        <v>0</v>
      </c>
      <c r="AR143" s="100">
        <f t="shared" si="112"/>
        <v>3357.0763027947032</v>
      </c>
      <c r="AS143" s="100">
        <f t="shared" si="68"/>
        <v>0</v>
      </c>
    </row>
    <row r="144" spans="1:45" s="216" customFormat="1">
      <c r="A144" s="1393" t="s">
        <v>1226</v>
      </c>
      <c r="B144" s="689" t="s">
        <v>889</v>
      </c>
      <c r="C144" s="684">
        <v>19094.005847860171</v>
      </c>
      <c r="D144" s="690">
        <v>41639</v>
      </c>
      <c r="E144" s="691">
        <v>32</v>
      </c>
      <c r="F144" s="282" t="s">
        <v>876</v>
      </c>
      <c r="G144" s="687" t="s">
        <v>662</v>
      </c>
      <c r="H144" s="1060" t="s">
        <v>662</v>
      </c>
      <c r="I144" s="137">
        <f t="shared" si="113"/>
        <v>30</v>
      </c>
      <c r="J144" s="223">
        <f t="shared" si="0"/>
        <v>0.96699999999999997</v>
      </c>
      <c r="K144" s="223">
        <f t="shared" si="1"/>
        <v>3.3000000000000002E-2</v>
      </c>
      <c r="L144" s="223">
        <f t="shared" si="2"/>
        <v>0</v>
      </c>
      <c r="M144" s="445">
        <f t="shared" si="103"/>
        <v>1</v>
      </c>
      <c r="N144" s="445">
        <f t="shared" si="103"/>
        <v>1.028</v>
      </c>
      <c r="O144" s="445">
        <f t="shared" si="103"/>
        <v>1.0382800000000001</v>
      </c>
      <c r="P144" s="445">
        <f t="shared" si="103"/>
        <v>1.0465862400000001</v>
      </c>
      <c r="Q144" s="440">
        <f t="shared" si="45"/>
        <v>190.94005847860171</v>
      </c>
      <c r="R144" s="134">
        <f t="shared" si="46"/>
        <v>190.94005847860171</v>
      </c>
      <c r="S144" s="134">
        <f t="shared" si="47"/>
        <v>196.28638011600256</v>
      </c>
      <c r="T144" s="134">
        <f t="shared" si="48"/>
        <v>198.2492439171626</v>
      </c>
      <c r="U144" s="1069">
        <f t="shared" si="49"/>
        <v>199.83523786849992</v>
      </c>
      <c r="V144" s="134">
        <f t="shared" si="105"/>
        <v>199.83523786849992</v>
      </c>
      <c r="W144" s="100">
        <f t="shared" si="104"/>
        <v>53.038905132944919</v>
      </c>
      <c r="X144" s="100">
        <f t="shared" si="104"/>
        <v>636.46686159533908</v>
      </c>
      <c r="Y144" s="100">
        <f t="shared" si="104"/>
        <v>636.46686159533908</v>
      </c>
      <c r="Z144" s="151">
        <f t="shared" si="104"/>
        <v>636.46686159533908</v>
      </c>
      <c r="AA144" s="448">
        <f t="shared" si="51"/>
        <v>53.038905132944919</v>
      </c>
      <c r="AB144" s="448">
        <f t="shared" si="52"/>
        <v>654.2879337200086</v>
      </c>
      <c r="AC144" s="448">
        <f t="shared" si="53"/>
        <v>660.83081305720873</v>
      </c>
      <c r="AD144" s="448">
        <f t="shared" si="54"/>
        <v>666.11745956166635</v>
      </c>
      <c r="AE144" s="285"/>
      <c r="AF144" s="100">
        <f t="shared" si="55"/>
        <v>19040.966942727227</v>
      </c>
      <c r="AG144" s="100">
        <f t="shared" si="56"/>
        <v>18919.826083403579</v>
      </c>
      <c r="AH144" s="100">
        <f t="shared" si="57"/>
        <v>18448.193531180408</v>
      </c>
      <c r="AI144" s="151">
        <f t="shared" si="58"/>
        <v>17929.661619868188</v>
      </c>
      <c r="AJ144" s="100">
        <f t="shared" si="106"/>
        <v>1157.4149878111241</v>
      </c>
      <c r="AK144" s="100">
        <f t="shared" si="107"/>
        <v>1335.4016727225373</v>
      </c>
      <c r="AL144" s="100">
        <f t="shared" si="61"/>
        <v>1324.9657801797034</v>
      </c>
      <c r="AM144" s="151">
        <f t="shared" si="62"/>
        <v>1311.5852778769211</v>
      </c>
      <c r="AN144" s="100">
        <f t="shared" si="108"/>
        <v>1311.5852778769211</v>
      </c>
      <c r="AO144" s="100">
        <f t="shared" si="109"/>
        <v>1511.420515745421</v>
      </c>
      <c r="AP144" s="100">
        <f t="shared" si="110"/>
        <v>1461.5436387258221</v>
      </c>
      <c r="AQ144" s="100">
        <f t="shared" si="111"/>
        <v>0</v>
      </c>
      <c r="AR144" s="100">
        <f t="shared" si="112"/>
        <v>49.876877019598894</v>
      </c>
      <c r="AS144" s="100">
        <f t="shared" si="68"/>
        <v>0</v>
      </c>
    </row>
    <row r="145" spans="1:45" s="216" customFormat="1">
      <c r="A145" s="1393" t="s">
        <v>1226</v>
      </c>
      <c r="B145" s="689" t="s">
        <v>892</v>
      </c>
      <c r="C145" s="684">
        <v>760531.80802612007</v>
      </c>
      <c r="D145" s="690">
        <v>41821</v>
      </c>
      <c r="E145" s="691">
        <v>21</v>
      </c>
      <c r="F145" s="282" t="s">
        <v>876</v>
      </c>
      <c r="G145" s="687"/>
      <c r="H145" s="1060" t="s">
        <v>662</v>
      </c>
      <c r="I145" s="137">
        <f t="shared" si="113"/>
        <v>55</v>
      </c>
      <c r="J145" s="223">
        <f t="shared" si="0"/>
        <v>0.96699999999999997</v>
      </c>
      <c r="K145" s="223">
        <f t="shared" si="1"/>
        <v>3.3000000000000002E-2</v>
      </c>
      <c r="L145" s="223">
        <f t="shared" si="2"/>
        <v>0</v>
      </c>
      <c r="M145" s="445">
        <f t="shared" si="103"/>
        <v>0</v>
      </c>
      <c r="N145" s="445">
        <f t="shared" si="103"/>
        <v>1</v>
      </c>
      <c r="O145" s="445">
        <f t="shared" si="103"/>
        <v>1.01</v>
      </c>
      <c r="P145" s="445">
        <f t="shared" si="103"/>
        <v>1.0180800000000001</v>
      </c>
      <c r="Q145" s="440">
        <f t="shared" si="45"/>
        <v>7605.3180802612005</v>
      </c>
      <c r="R145" s="134">
        <f t="shared" si="46"/>
        <v>0</v>
      </c>
      <c r="S145" s="134">
        <f t="shared" si="47"/>
        <v>7605.3180802612005</v>
      </c>
      <c r="T145" s="134">
        <f t="shared" si="48"/>
        <v>7681.3712610638122</v>
      </c>
      <c r="U145" s="1069">
        <f t="shared" si="49"/>
        <v>7742.8222311523241</v>
      </c>
      <c r="V145" s="134">
        <f t="shared" si="105"/>
        <v>7742.8222311523241</v>
      </c>
      <c r="W145" s="100">
        <f t="shared" si="104"/>
        <v>0</v>
      </c>
      <c r="X145" s="100">
        <f t="shared" si="104"/>
        <v>6913.9255275101823</v>
      </c>
      <c r="Y145" s="100">
        <f t="shared" si="104"/>
        <v>13827.851055020365</v>
      </c>
      <c r="Z145" s="151">
        <f t="shared" si="104"/>
        <v>13827.851055020365</v>
      </c>
      <c r="AA145" s="448">
        <f t="shared" si="51"/>
        <v>0</v>
      </c>
      <c r="AB145" s="448">
        <f t="shared" si="52"/>
        <v>6913.9255275101823</v>
      </c>
      <c r="AC145" s="448">
        <f t="shared" si="53"/>
        <v>13966.129565570569</v>
      </c>
      <c r="AD145" s="448">
        <f t="shared" si="54"/>
        <v>14077.858602095133</v>
      </c>
      <c r="AE145" s="285"/>
      <c r="AF145" s="100">
        <f t="shared" si="55"/>
        <v>0</v>
      </c>
      <c r="AG145" s="100">
        <f t="shared" si="56"/>
        <v>753617.88249860983</v>
      </c>
      <c r="AH145" s="100">
        <f t="shared" si="57"/>
        <v>747187.93175802531</v>
      </c>
      <c r="AI145" s="151">
        <f t="shared" si="58"/>
        <v>739087.5766099944</v>
      </c>
      <c r="AJ145" s="100">
        <f t="shared" si="106"/>
        <v>0</v>
      </c>
      <c r="AK145" s="100">
        <f t="shared" si="107"/>
        <v>34044.169297460132</v>
      </c>
      <c r="AL145" s="100">
        <f t="shared" si="61"/>
        <v>40864.895108859477</v>
      </c>
      <c r="AM145" s="151">
        <f t="shared" si="62"/>
        <v>40685.01136005493</v>
      </c>
      <c r="AN145" s="100">
        <f t="shared" si="108"/>
        <v>40685.01136005493</v>
      </c>
      <c r="AO145" s="100">
        <f t="shared" si="109"/>
        <v>48427.833591207251</v>
      </c>
      <c r="AP145" s="100">
        <f t="shared" si="110"/>
        <v>0</v>
      </c>
      <c r="AQ145" s="100">
        <f t="shared" si="111"/>
        <v>46829.71508269741</v>
      </c>
      <c r="AR145" s="100">
        <f t="shared" si="112"/>
        <v>1598.1185085098393</v>
      </c>
      <c r="AS145" s="100">
        <f t="shared" si="68"/>
        <v>0</v>
      </c>
    </row>
    <row r="146" spans="1:45" s="216" customFormat="1">
      <c r="A146" s="1393" t="s">
        <v>1226</v>
      </c>
      <c r="B146" s="689" t="s">
        <v>887</v>
      </c>
      <c r="C146" s="684">
        <v>86091.341029119998</v>
      </c>
      <c r="D146" s="690">
        <v>41821</v>
      </c>
      <c r="E146" s="691">
        <v>15</v>
      </c>
      <c r="F146" s="282" t="s">
        <v>876</v>
      </c>
      <c r="G146" s="687"/>
      <c r="H146" s="1060" t="s">
        <v>662</v>
      </c>
      <c r="I146" s="137">
        <f t="shared" si="113"/>
        <v>30</v>
      </c>
      <c r="J146" s="223">
        <f t="shared" si="0"/>
        <v>0.96699999999999997</v>
      </c>
      <c r="K146" s="223">
        <f t="shared" si="1"/>
        <v>3.3000000000000002E-2</v>
      </c>
      <c r="L146" s="223">
        <f t="shared" si="2"/>
        <v>0</v>
      </c>
      <c r="M146" s="445">
        <f t="shared" si="103"/>
        <v>0</v>
      </c>
      <c r="N146" s="445">
        <f t="shared" si="103"/>
        <v>1</v>
      </c>
      <c r="O146" s="445">
        <f t="shared" si="103"/>
        <v>1.01</v>
      </c>
      <c r="P146" s="445">
        <f t="shared" si="103"/>
        <v>1.0180800000000001</v>
      </c>
      <c r="Q146" s="440">
        <f t="shared" si="45"/>
        <v>860.91341029119997</v>
      </c>
      <c r="R146" s="134">
        <f t="shared" si="46"/>
        <v>0</v>
      </c>
      <c r="S146" s="134">
        <f t="shared" si="47"/>
        <v>860.91341029119997</v>
      </c>
      <c r="T146" s="134">
        <f t="shared" si="48"/>
        <v>869.52254439411195</v>
      </c>
      <c r="U146" s="1069">
        <f t="shared" si="49"/>
        <v>876.47872474926498</v>
      </c>
      <c r="V146" s="134">
        <f t="shared" si="105"/>
        <v>876.47872474926498</v>
      </c>
      <c r="W146" s="100">
        <f t="shared" si="104"/>
        <v>0</v>
      </c>
      <c r="X146" s="100">
        <f t="shared" si="104"/>
        <v>1434.8556838186666</v>
      </c>
      <c r="Y146" s="100">
        <f t="shared" si="104"/>
        <v>2869.7113676373333</v>
      </c>
      <c r="Z146" s="151">
        <f t="shared" si="104"/>
        <v>2869.7113676373333</v>
      </c>
      <c r="AA146" s="448">
        <f t="shared" si="51"/>
        <v>0</v>
      </c>
      <c r="AB146" s="448">
        <f t="shared" si="52"/>
        <v>1434.8556838186666</v>
      </c>
      <c r="AC146" s="448">
        <f t="shared" si="53"/>
        <v>2898.4084813137065</v>
      </c>
      <c r="AD146" s="448">
        <f t="shared" si="54"/>
        <v>2921.5957491642166</v>
      </c>
      <c r="AE146" s="285"/>
      <c r="AF146" s="100">
        <f t="shared" si="55"/>
        <v>0</v>
      </c>
      <c r="AG146" s="100">
        <f t="shared" si="56"/>
        <v>84656.485345301335</v>
      </c>
      <c r="AH146" s="100">
        <f t="shared" si="57"/>
        <v>82604.641717440652</v>
      </c>
      <c r="AI146" s="151">
        <f t="shared" si="58"/>
        <v>80343.883102015956</v>
      </c>
      <c r="AJ146" s="100">
        <f t="shared" si="106"/>
        <v>0</v>
      </c>
      <c r="AK146" s="100">
        <f t="shared" si="107"/>
        <v>4482.4891562495141</v>
      </c>
      <c r="AL146" s="100">
        <f t="shared" si="61"/>
        <v>5872.1755831415703</v>
      </c>
      <c r="AM146" s="151">
        <f t="shared" si="62"/>
        <v>5813.975540836791</v>
      </c>
      <c r="AN146" s="100">
        <f t="shared" si="108"/>
        <v>5813.975540836791</v>
      </c>
      <c r="AO146" s="100">
        <f t="shared" si="109"/>
        <v>6690.454265586056</v>
      </c>
      <c r="AP146" s="100">
        <f t="shared" si="110"/>
        <v>0</v>
      </c>
      <c r="AQ146" s="100">
        <f t="shared" si="111"/>
        <v>6469.6692748217156</v>
      </c>
      <c r="AR146" s="100">
        <f t="shared" si="112"/>
        <v>220.78499076433985</v>
      </c>
      <c r="AS146" s="100">
        <f t="shared" si="68"/>
        <v>0</v>
      </c>
    </row>
    <row r="147" spans="1:45" s="216" customFormat="1">
      <c r="A147" s="1393" t="s">
        <v>1226</v>
      </c>
      <c r="B147" s="689" t="s">
        <v>889</v>
      </c>
      <c r="C147" s="684">
        <v>17257.300412640001</v>
      </c>
      <c r="D147" s="690">
        <v>41821</v>
      </c>
      <c r="E147" s="691">
        <v>32</v>
      </c>
      <c r="F147" s="282" t="s">
        <v>876</v>
      </c>
      <c r="G147" s="687"/>
      <c r="H147" s="1060" t="s">
        <v>662</v>
      </c>
      <c r="I147" s="137">
        <f t="shared" si="113"/>
        <v>30</v>
      </c>
      <c r="J147" s="223">
        <f t="shared" si="0"/>
        <v>0.96699999999999997</v>
      </c>
      <c r="K147" s="223">
        <f t="shared" si="1"/>
        <v>3.3000000000000002E-2</v>
      </c>
      <c r="L147" s="223">
        <f t="shared" si="2"/>
        <v>0</v>
      </c>
      <c r="M147" s="445">
        <f t="shared" si="103"/>
        <v>0</v>
      </c>
      <c r="N147" s="445">
        <f t="shared" si="103"/>
        <v>1</v>
      </c>
      <c r="O147" s="445">
        <f t="shared" si="103"/>
        <v>1.01</v>
      </c>
      <c r="P147" s="445">
        <f t="shared" si="103"/>
        <v>1.0180800000000001</v>
      </c>
      <c r="Q147" s="440">
        <f t="shared" si="45"/>
        <v>172.57300412640001</v>
      </c>
      <c r="R147" s="134">
        <f t="shared" si="46"/>
        <v>0</v>
      </c>
      <c r="S147" s="134">
        <f t="shared" si="47"/>
        <v>172.57300412640001</v>
      </c>
      <c r="T147" s="134">
        <f t="shared" si="48"/>
        <v>174.29873416766401</v>
      </c>
      <c r="U147" s="1069">
        <f t="shared" si="49"/>
        <v>175.69312404100535</v>
      </c>
      <c r="V147" s="134">
        <f t="shared" si="105"/>
        <v>175.69312404100535</v>
      </c>
      <c r="W147" s="100">
        <f t="shared" si="104"/>
        <v>0</v>
      </c>
      <c r="X147" s="100">
        <f t="shared" si="104"/>
        <v>287.62167354400003</v>
      </c>
      <c r="Y147" s="100">
        <f t="shared" si="104"/>
        <v>575.24334708800006</v>
      </c>
      <c r="Z147" s="151">
        <f t="shared" si="104"/>
        <v>575.24334708800006</v>
      </c>
      <c r="AA147" s="448">
        <f t="shared" si="51"/>
        <v>0</v>
      </c>
      <c r="AB147" s="448">
        <f t="shared" si="52"/>
        <v>287.62167354400003</v>
      </c>
      <c r="AC147" s="448">
        <f t="shared" si="53"/>
        <v>580.99578055888003</v>
      </c>
      <c r="AD147" s="448">
        <f t="shared" si="54"/>
        <v>585.64374680335118</v>
      </c>
      <c r="AE147" s="285"/>
      <c r="AF147" s="100">
        <f t="shared" si="55"/>
        <v>0</v>
      </c>
      <c r="AG147" s="100">
        <f t="shared" si="56"/>
        <v>16969.678739096002</v>
      </c>
      <c r="AH147" s="100">
        <f t="shared" si="57"/>
        <v>16558.379745928083</v>
      </c>
      <c r="AI147" s="151">
        <f t="shared" si="58"/>
        <v>16105.203037092157</v>
      </c>
      <c r="AJ147" s="100">
        <f t="shared" si="106"/>
        <v>0</v>
      </c>
      <c r="AK147" s="100">
        <f t="shared" si="107"/>
        <v>898.53010815145603</v>
      </c>
      <c r="AL147" s="100">
        <f t="shared" si="61"/>
        <v>1177.0974514122909</v>
      </c>
      <c r="AM147" s="151">
        <f t="shared" si="62"/>
        <v>1165.4310561386687</v>
      </c>
      <c r="AN147" s="100">
        <f t="shared" si="108"/>
        <v>1165.4310561386687</v>
      </c>
      <c r="AO147" s="100">
        <f t="shared" si="109"/>
        <v>1341.1241801796741</v>
      </c>
      <c r="AP147" s="100">
        <f t="shared" si="110"/>
        <v>0</v>
      </c>
      <c r="AQ147" s="100">
        <f t="shared" si="111"/>
        <v>1296.8670822337449</v>
      </c>
      <c r="AR147" s="100">
        <f t="shared" si="112"/>
        <v>44.257097945929246</v>
      </c>
      <c r="AS147" s="100">
        <f t="shared" si="68"/>
        <v>0</v>
      </c>
    </row>
    <row r="148" spans="1:45" s="216" customFormat="1">
      <c r="A148" s="1393" t="s">
        <v>1226</v>
      </c>
      <c r="B148" s="683" t="s">
        <v>1129</v>
      </c>
      <c r="C148" s="684">
        <v>787141.03535599995</v>
      </c>
      <c r="D148" s="685">
        <v>42004</v>
      </c>
      <c r="E148" s="691">
        <v>21</v>
      </c>
      <c r="F148" s="282" t="s">
        <v>876</v>
      </c>
      <c r="G148" s="687"/>
      <c r="H148" s="1310" t="s">
        <v>638</v>
      </c>
      <c r="I148" s="137">
        <f t="shared" si="113"/>
        <v>55</v>
      </c>
      <c r="J148" s="223">
        <f t="shared" si="0"/>
        <v>0.96699999999999997</v>
      </c>
      <c r="K148" s="223">
        <f t="shared" si="1"/>
        <v>3.3000000000000002E-2</v>
      </c>
      <c r="L148" s="223">
        <f t="shared" si="2"/>
        <v>0</v>
      </c>
      <c r="M148" s="445">
        <f t="shared" ref="M148:P165" si="114">IF(YEAR($D148)&gt;M$58,0,HLOOKUP(M$58,$C$9:$F$13, YEAR($D148)-2011,FALSE))</f>
        <v>0</v>
      </c>
      <c r="N148" s="445">
        <f t="shared" si="114"/>
        <v>1</v>
      </c>
      <c r="O148" s="445">
        <f t="shared" si="114"/>
        <v>1.01</v>
      </c>
      <c r="P148" s="445">
        <f t="shared" si="114"/>
        <v>1.0180800000000001</v>
      </c>
      <c r="Q148" s="440">
        <f t="shared" si="45"/>
        <v>7871.4103535599997</v>
      </c>
      <c r="R148" s="134">
        <f t="shared" si="46"/>
        <v>0</v>
      </c>
      <c r="S148" s="134">
        <f t="shared" si="47"/>
        <v>7871.4103535599997</v>
      </c>
      <c r="T148" s="134">
        <f t="shared" si="48"/>
        <v>7950.1244570955996</v>
      </c>
      <c r="U148" s="1069">
        <f t="shared" si="49"/>
        <v>8013.7254527523655</v>
      </c>
      <c r="V148" s="134">
        <f>IF(H148="nee",U148,IF(G148="ja",S148*(1+$C$16)+T148*(1+$D$16)+U148,R148*(1+$B$16)+S148*(1+$C$16)+T148*(1+$D$16)+U148))</f>
        <v>24795.572326542275</v>
      </c>
      <c r="W148" s="100">
        <f t="shared" ref="W148:Z165" si="115">IF(YEAR($D148)&lt;W$58,$C148/$I148,IF(YEAR($D148)=W$58,(13-MONTH($D148))/12*$C148/$I148,0))</f>
        <v>0</v>
      </c>
      <c r="X148" s="100">
        <f t="shared" si="115"/>
        <v>1192.6379323575757</v>
      </c>
      <c r="Y148" s="100">
        <f t="shared" si="115"/>
        <v>14311.655188290908</v>
      </c>
      <c r="Z148" s="151">
        <f t="shared" si="115"/>
        <v>14311.655188290908</v>
      </c>
      <c r="AA148" s="448">
        <f t="shared" si="51"/>
        <v>0</v>
      </c>
      <c r="AB148" s="448">
        <f t="shared" si="52"/>
        <v>1192.6379323575757</v>
      </c>
      <c r="AC148" s="448">
        <f t="shared" si="53"/>
        <v>14454.771740173817</v>
      </c>
      <c r="AD148" s="448">
        <f t="shared" si="54"/>
        <v>14570.409914095209</v>
      </c>
      <c r="AE148" s="285"/>
      <c r="AF148" s="100">
        <f t="shared" si="55"/>
        <v>0</v>
      </c>
      <c r="AG148" s="100">
        <f t="shared" si="56"/>
        <v>785948.39742364234</v>
      </c>
      <c r="AH148" s="100">
        <f t="shared" si="57"/>
        <v>779353.10965770495</v>
      </c>
      <c r="AI148" s="151">
        <f t="shared" si="58"/>
        <v>771017.52462087141</v>
      </c>
      <c r="AJ148" s="100">
        <f>AF148*$B$4+AA148</f>
        <v>0</v>
      </c>
      <c r="AK148" s="100">
        <f>AG148*$B$5+AB148</f>
        <v>29486.780239608695</v>
      </c>
      <c r="AL148" s="100">
        <f t="shared" si="61"/>
        <v>42511.483687851192</v>
      </c>
      <c r="AM148" s="151">
        <f t="shared" si="62"/>
        <v>42327.040800446579</v>
      </c>
      <c r="AN148" s="100">
        <f>IF(H148="nee",AM148,IF(G148="ja",AK148*(1+$C$16)+AL148*(1+$D$16)+AM148, AJ148*(1+$B$16)+AK148*(1+$C$16)+AL148*(1+$D$16)+AM148))</f>
        <v>118431.88534297256</v>
      </c>
      <c r="AO148" s="100">
        <f>AN148+V148</f>
        <v>143227.45766951484</v>
      </c>
      <c r="AP148" s="100">
        <f>IF(YEAR(D148)&lt;2014,$AO148*J148,0)</f>
        <v>0</v>
      </c>
      <c r="AQ148" s="100">
        <f>IF(YEAR(D148)&gt;2013,$AO148*J148,0)</f>
        <v>138500.95156642084</v>
      </c>
      <c r="AR148" s="100">
        <f>$AO148*K148</f>
        <v>4726.5061030939896</v>
      </c>
      <c r="AS148" s="100">
        <f t="shared" si="68"/>
        <v>0</v>
      </c>
    </row>
    <row r="149" spans="1:45" s="216" customFormat="1">
      <c r="A149" s="1393" t="s">
        <v>1226</v>
      </c>
      <c r="B149" s="683" t="s">
        <v>1130</v>
      </c>
      <c r="C149" s="684">
        <v>126484.75642399999</v>
      </c>
      <c r="D149" s="685">
        <v>42004</v>
      </c>
      <c r="E149" s="691">
        <v>15</v>
      </c>
      <c r="F149" s="282" t="s">
        <v>876</v>
      </c>
      <c r="G149" s="687"/>
      <c r="H149" s="1310" t="s">
        <v>638</v>
      </c>
      <c r="I149" s="137">
        <f t="shared" si="113"/>
        <v>30</v>
      </c>
      <c r="J149" s="223">
        <f t="shared" si="0"/>
        <v>0.96699999999999997</v>
      </c>
      <c r="K149" s="223">
        <f t="shared" si="1"/>
        <v>3.3000000000000002E-2</v>
      </c>
      <c r="L149" s="223">
        <f t="shared" si="2"/>
        <v>0</v>
      </c>
      <c r="M149" s="445">
        <f t="shared" si="114"/>
        <v>0</v>
      </c>
      <c r="N149" s="445">
        <f t="shared" si="114"/>
        <v>1</v>
      </c>
      <c r="O149" s="445">
        <f t="shared" si="114"/>
        <v>1.01</v>
      </c>
      <c r="P149" s="445">
        <f t="shared" si="114"/>
        <v>1.0180800000000001</v>
      </c>
      <c r="Q149" s="440">
        <f t="shared" si="45"/>
        <v>1264.8475642399999</v>
      </c>
      <c r="R149" s="134">
        <f t="shared" si="46"/>
        <v>0</v>
      </c>
      <c r="S149" s="134">
        <f t="shared" si="47"/>
        <v>1264.8475642399999</v>
      </c>
      <c r="T149" s="134">
        <f t="shared" si="48"/>
        <v>1277.4960398823998</v>
      </c>
      <c r="U149" s="1069">
        <f t="shared" si="49"/>
        <v>1287.7160082014591</v>
      </c>
      <c r="V149" s="134">
        <f t="shared" ref="V149:V165" si="116">IF(H149="nee",U149,IF(G149="ja",S149*(1+$C$16)+T149*(1+$D$16)+U149,R149*(1+$B$16)+S149*(1+$C$16)+T149*(1+$D$16)+U149))</f>
        <v>3984.3710151611367</v>
      </c>
      <c r="W149" s="100">
        <f t="shared" si="115"/>
        <v>0</v>
      </c>
      <c r="X149" s="100">
        <f t="shared" si="115"/>
        <v>351.34654562222215</v>
      </c>
      <c r="Y149" s="100">
        <f t="shared" si="115"/>
        <v>4216.1585474666663</v>
      </c>
      <c r="Z149" s="151">
        <f t="shared" si="115"/>
        <v>4216.1585474666663</v>
      </c>
      <c r="AA149" s="448">
        <f t="shared" si="51"/>
        <v>0</v>
      </c>
      <c r="AB149" s="448">
        <f t="shared" si="52"/>
        <v>351.34654562222215</v>
      </c>
      <c r="AC149" s="448">
        <f t="shared" si="53"/>
        <v>4258.3201329413332</v>
      </c>
      <c r="AD149" s="448">
        <f t="shared" si="54"/>
        <v>4292.3866940048638</v>
      </c>
      <c r="AE149" s="285"/>
      <c r="AF149" s="100">
        <f t="shared" si="55"/>
        <v>0</v>
      </c>
      <c r="AG149" s="100">
        <f t="shared" si="56"/>
        <v>126133.40987837777</v>
      </c>
      <c r="AH149" s="100">
        <f t="shared" si="57"/>
        <v>123136.42384422022</v>
      </c>
      <c r="AI149" s="151">
        <f t="shared" si="58"/>
        <v>119829.12854096912</v>
      </c>
      <c r="AJ149" s="100">
        <f t="shared" ref="AJ149:AJ165" si="117">AF149*$B$4+AA149</f>
        <v>0</v>
      </c>
      <c r="AK149" s="100">
        <f t="shared" ref="AK149:AK165" si="118">AG149*$B$5+AB149</f>
        <v>4892.1493012438214</v>
      </c>
      <c r="AL149" s="100">
        <f t="shared" si="61"/>
        <v>8691.2313913332619</v>
      </c>
      <c r="AM149" s="151">
        <f t="shared" si="62"/>
        <v>8606.2353214797513</v>
      </c>
      <c r="AN149" s="100">
        <f t="shared" ref="AN149:AN165" si="119">IF(H149="nee",AM149,IF(G149="ja",AK149*(1+$C$16)+AL149*(1+$D$16)+AM149, AJ149*(1+$B$16)+AK149*(1+$C$16)+AL149*(1+$D$16)+AM149))</f>
        <v>22936.464652691655</v>
      </c>
      <c r="AO149" s="100">
        <f t="shared" ref="AO149:AO165" si="120">AN149+V149</f>
        <v>26920.835667852793</v>
      </c>
      <c r="AP149" s="100">
        <f t="shared" ref="AP149:AP165" si="121">IF(YEAR(D149)&lt;2014,$AO149*J149,0)</f>
        <v>0</v>
      </c>
      <c r="AQ149" s="100">
        <f t="shared" ref="AQ149:AQ165" si="122">IF(YEAR(D149)&gt;2013,$AO149*J149,0)</f>
        <v>26032.44809081365</v>
      </c>
      <c r="AR149" s="100">
        <f t="shared" ref="AR149:AR165" si="123">$AO149*K149</f>
        <v>888.38757703914223</v>
      </c>
      <c r="AS149" s="100">
        <f t="shared" si="68"/>
        <v>0</v>
      </c>
    </row>
    <row r="150" spans="1:45" s="216" customFormat="1">
      <c r="A150" s="1393" t="s">
        <v>1226</v>
      </c>
      <c r="B150" s="683" t="s">
        <v>1131</v>
      </c>
      <c r="C150" s="684">
        <v>14296.633136</v>
      </c>
      <c r="D150" s="685">
        <v>42004</v>
      </c>
      <c r="E150" s="691">
        <v>32</v>
      </c>
      <c r="F150" s="282" t="s">
        <v>876</v>
      </c>
      <c r="G150" s="687"/>
      <c r="H150" s="1310" t="s">
        <v>638</v>
      </c>
      <c r="I150" s="137">
        <f t="shared" si="113"/>
        <v>30</v>
      </c>
      <c r="J150" s="223">
        <f t="shared" si="0"/>
        <v>0.96699999999999997</v>
      </c>
      <c r="K150" s="223">
        <f t="shared" si="1"/>
        <v>3.3000000000000002E-2</v>
      </c>
      <c r="L150" s="223">
        <f t="shared" si="2"/>
        <v>0</v>
      </c>
      <c r="M150" s="445">
        <f t="shared" si="114"/>
        <v>0</v>
      </c>
      <c r="N150" s="445">
        <f t="shared" si="114"/>
        <v>1</v>
      </c>
      <c r="O150" s="445">
        <f t="shared" si="114"/>
        <v>1.01</v>
      </c>
      <c r="P150" s="445">
        <f t="shared" si="114"/>
        <v>1.0180800000000001</v>
      </c>
      <c r="Q150" s="440">
        <f t="shared" si="45"/>
        <v>142.96633136</v>
      </c>
      <c r="R150" s="134">
        <f t="shared" si="46"/>
        <v>0</v>
      </c>
      <c r="S150" s="134">
        <f t="shared" si="47"/>
        <v>142.96633136</v>
      </c>
      <c r="T150" s="134">
        <f t="shared" si="48"/>
        <v>144.3959946736</v>
      </c>
      <c r="U150" s="1069">
        <f t="shared" si="49"/>
        <v>145.55116263098881</v>
      </c>
      <c r="V150" s="134">
        <f t="shared" si="116"/>
        <v>450.35538109050862</v>
      </c>
      <c r="W150" s="100">
        <f t="shared" si="115"/>
        <v>0</v>
      </c>
      <c r="X150" s="100">
        <f t="shared" si="115"/>
        <v>39.712869822222224</v>
      </c>
      <c r="Y150" s="100">
        <f t="shared" si="115"/>
        <v>476.55443786666666</v>
      </c>
      <c r="Z150" s="151">
        <f t="shared" si="115"/>
        <v>476.55443786666666</v>
      </c>
      <c r="AA150" s="448">
        <f t="shared" si="51"/>
        <v>0</v>
      </c>
      <c r="AB150" s="448">
        <f t="shared" si="52"/>
        <v>39.712869822222224</v>
      </c>
      <c r="AC150" s="448">
        <f t="shared" si="53"/>
        <v>481.31998224533334</v>
      </c>
      <c r="AD150" s="448">
        <f t="shared" si="54"/>
        <v>485.17054210329604</v>
      </c>
      <c r="AE150" s="285"/>
      <c r="AF150" s="100">
        <f t="shared" si="55"/>
        <v>0</v>
      </c>
      <c r="AG150" s="100">
        <f t="shared" si="56"/>
        <v>14256.920266177778</v>
      </c>
      <c r="AH150" s="100">
        <f t="shared" si="57"/>
        <v>13918.169486594223</v>
      </c>
      <c r="AI150" s="151">
        <f t="shared" si="58"/>
        <v>13544.34430038368</v>
      </c>
      <c r="AJ150" s="100">
        <f t="shared" si="117"/>
        <v>0</v>
      </c>
      <c r="AK150" s="100">
        <f t="shared" si="118"/>
        <v>552.96199940462225</v>
      </c>
      <c r="AL150" s="100">
        <f t="shared" si="61"/>
        <v>982.37408376272538</v>
      </c>
      <c r="AM150" s="151">
        <f t="shared" si="62"/>
        <v>972.76693691710852</v>
      </c>
      <c r="AN150" s="100">
        <f t="shared" si="119"/>
        <v>2592.5196825863814</v>
      </c>
      <c r="AO150" s="100">
        <f t="shared" si="120"/>
        <v>3042.87506367689</v>
      </c>
      <c r="AP150" s="100">
        <f t="shared" si="121"/>
        <v>0</v>
      </c>
      <c r="AQ150" s="100">
        <f t="shared" si="122"/>
        <v>2942.4601865755526</v>
      </c>
      <c r="AR150" s="100">
        <f t="shared" si="123"/>
        <v>100.41487710133738</v>
      </c>
      <c r="AS150" s="100">
        <f t="shared" si="68"/>
        <v>0</v>
      </c>
    </row>
    <row r="151" spans="1:45" s="216" customFormat="1">
      <c r="A151" s="1393" t="s">
        <v>1226</v>
      </c>
      <c r="B151" s="683" t="s">
        <v>1132</v>
      </c>
      <c r="C151" s="684">
        <v>87561.854637600001</v>
      </c>
      <c r="D151" s="685">
        <v>42186</v>
      </c>
      <c r="E151" s="691">
        <v>21</v>
      </c>
      <c r="F151" s="282" t="s">
        <v>876</v>
      </c>
      <c r="G151" s="687"/>
      <c r="H151" s="1310" t="s">
        <v>638</v>
      </c>
      <c r="I151" s="137">
        <f t="shared" si="113"/>
        <v>55</v>
      </c>
      <c r="J151" s="223">
        <f t="shared" si="0"/>
        <v>0.96699999999999997</v>
      </c>
      <c r="K151" s="223">
        <f t="shared" si="1"/>
        <v>3.3000000000000002E-2</v>
      </c>
      <c r="L151" s="223">
        <f t="shared" si="2"/>
        <v>0</v>
      </c>
      <c r="M151" s="445">
        <f t="shared" si="114"/>
        <v>0</v>
      </c>
      <c r="N151" s="445">
        <f t="shared" si="114"/>
        <v>0</v>
      </c>
      <c r="O151" s="445">
        <f t="shared" si="114"/>
        <v>1</v>
      </c>
      <c r="P151" s="445">
        <f t="shared" si="114"/>
        <v>1.008</v>
      </c>
      <c r="Q151" s="440">
        <f t="shared" si="45"/>
        <v>875.61854637600004</v>
      </c>
      <c r="R151" s="134">
        <f t="shared" si="46"/>
        <v>0</v>
      </c>
      <c r="S151" s="134">
        <f t="shared" si="47"/>
        <v>0</v>
      </c>
      <c r="T151" s="134">
        <f t="shared" si="48"/>
        <v>875.61854637600004</v>
      </c>
      <c r="U151" s="1069">
        <f t="shared" si="49"/>
        <v>882.62349474700807</v>
      </c>
      <c r="V151" s="134">
        <f t="shared" si="116"/>
        <v>1793.2667829780478</v>
      </c>
      <c r="W151" s="100">
        <f t="shared" si="115"/>
        <v>0</v>
      </c>
      <c r="X151" s="100">
        <f t="shared" si="115"/>
        <v>0</v>
      </c>
      <c r="Y151" s="100">
        <f t="shared" si="115"/>
        <v>796.01686034181819</v>
      </c>
      <c r="Z151" s="151">
        <f t="shared" si="115"/>
        <v>1592.0337206836364</v>
      </c>
      <c r="AA151" s="448">
        <f t="shared" si="51"/>
        <v>0</v>
      </c>
      <c r="AB151" s="448">
        <f t="shared" si="52"/>
        <v>0</v>
      </c>
      <c r="AC151" s="448">
        <f t="shared" si="53"/>
        <v>796.01686034181819</v>
      </c>
      <c r="AD151" s="448">
        <f t="shared" si="54"/>
        <v>1604.7699904491055</v>
      </c>
      <c r="AE151" s="285"/>
      <c r="AF151" s="100">
        <f t="shared" si="55"/>
        <v>0</v>
      </c>
      <c r="AG151" s="100">
        <f t="shared" si="56"/>
        <v>0</v>
      </c>
      <c r="AH151" s="100">
        <f t="shared" si="57"/>
        <v>86765.837777258188</v>
      </c>
      <c r="AI151" s="151">
        <f t="shared" si="58"/>
        <v>85855.194489027155</v>
      </c>
      <c r="AJ151" s="100">
        <f t="shared" si="117"/>
        <v>0</v>
      </c>
      <c r="AK151" s="100">
        <f t="shared" si="118"/>
        <v>0</v>
      </c>
      <c r="AL151" s="100">
        <f t="shared" si="61"/>
        <v>3919.5870203231129</v>
      </c>
      <c r="AM151" s="151">
        <f t="shared" si="62"/>
        <v>4695.5569920540829</v>
      </c>
      <c r="AN151" s="100">
        <f t="shared" si="119"/>
        <v>8771.9274931901182</v>
      </c>
      <c r="AO151" s="100">
        <f t="shared" si="120"/>
        <v>10565.194276168166</v>
      </c>
      <c r="AP151" s="100">
        <f t="shared" si="121"/>
        <v>0</v>
      </c>
      <c r="AQ151" s="100">
        <f t="shared" si="122"/>
        <v>10216.542865054616</v>
      </c>
      <c r="AR151" s="100">
        <f t="shared" si="123"/>
        <v>348.6514111135495</v>
      </c>
      <c r="AS151" s="100">
        <f t="shared" si="68"/>
        <v>0</v>
      </c>
    </row>
    <row r="152" spans="1:45" s="216" customFormat="1">
      <c r="A152" s="1393" t="s">
        <v>1226</v>
      </c>
      <c r="B152" s="683" t="s">
        <v>1134</v>
      </c>
      <c r="C152" s="684">
        <v>2433.0358044000004</v>
      </c>
      <c r="D152" s="685">
        <v>42186</v>
      </c>
      <c r="E152" s="691">
        <v>32</v>
      </c>
      <c r="F152" s="282" t="s">
        <v>876</v>
      </c>
      <c r="G152" s="687"/>
      <c r="H152" s="1310" t="s">
        <v>638</v>
      </c>
      <c r="I152" s="137">
        <f t="shared" si="113"/>
        <v>30</v>
      </c>
      <c r="J152" s="223">
        <f t="shared" si="0"/>
        <v>0.96699999999999997</v>
      </c>
      <c r="K152" s="223">
        <f t="shared" si="1"/>
        <v>3.3000000000000002E-2</v>
      </c>
      <c r="L152" s="223">
        <f t="shared" si="2"/>
        <v>0</v>
      </c>
      <c r="M152" s="445">
        <f t="shared" si="114"/>
        <v>0</v>
      </c>
      <c r="N152" s="445">
        <f t="shared" si="114"/>
        <v>0</v>
      </c>
      <c r="O152" s="445">
        <f t="shared" si="114"/>
        <v>1</v>
      </c>
      <c r="P152" s="445">
        <f t="shared" si="114"/>
        <v>1.008</v>
      </c>
      <c r="Q152" s="440">
        <f t="shared" si="45"/>
        <v>24.330358044000004</v>
      </c>
      <c r="R152" s="134">
        <f t="shared" si="46"/>
        <v>0</v>
      </c>
      <c r="S152" s="134">
        <f t="shared" si="47"/>
        <v>0</v>
      </c>
      <c r="T152" s="134">
        <f t="shared" si="48"/>
        <v>24.330358044000004</v>
      </c>
      <c r="U152" s="1069">
        <f t="shared" si="49"/>
        <v>24.525000908352006</v>
      </c>
      <c r="V152" s="134">
        <f t="shared" si="116"/>
        <v>49.828573274112003</v>
      </c>
      <c r="W152" s="100">
        <f t="shared" si="115"/>
        <v>0</v>
      </c>
      <c r="X152" s="100">
        <f t="shared" si="115"/>
        <v>0</v>
      </c>
      <c r="Y152" s="100">
        <f t="shared" si="115"/>
        <v>40.55059674000001</v>
      </c>
      <c r="Z152" s="151">
        <f t="shared" si="115"/>
        <v>81.10119348000002</v>
      </c>
      <c r="AA152" s="448">
        <f t="shared" si="51"/>
        <v>0</v>
      </c>
      <c r="AB152" s="448">
        <f t="shared" si="52"/>
        <v>0</v>
      </c>
      <c r="AC152" s="448">
        <f t="shared" si="53"/>
        <v>40.55059674000001</v>
      </c>
      <c r="AD152" s="448">
        <f t="shared" si="54"/>
        <v>81.750003027840023</v>
      </c>
      <c r="AE152" s="285"/>
      <c r="AF152" s="100">
        <f t="shared" si="55"/>
        <v>0</v>
      </c>
      <c r="AG152" s="100">
        <f t="shared" si="56"/>
        <v>0</v>
      </c>
      <c r="AH152" s="100">
        <f t="shared" si="57"/>
        <v>2392.4852076600005</v>
      </c>
      <c r="AI152" s="151">
        <f t="shared" si="58"/>
        <v>2329.8750862934403</v>
      </c>
      <c r="AJ152" s="100">
        <f t="shared" si="117"/>
        <v>0</v>
      </c>
      <c r="AK152" s="100">
        <f t="shared" si="118"/>
        <v>0</v>
      </c>
      <c r="AL152" s="100">
        <f t="shared" si="61"/>
        <v>126.68006421576001</v>
      </c>
      <c r="AM152" s="151">
        <f t="shared" si="62"/>
        <v>165.62550613440385</v>
      </c>
      <c r="AN152" s="100">
        <f t="shared" si="119"/>
        <v>297.37277291879423</v>
      </c>
      <c r="AO152" s="100">
        <f t="shared" si="120"/>
        <v>347.20134619290621</v>
      </c>
      <c r="AP152" s="100">
        <f t="shared" si="121"/>
        <v>0</v>
      </c>
      <c r="AQ152" s="100">
        <f t="shared" si="122"/>
        <v>335.74370176854029</v>
      </c>
      <c r="AR152" s="100">
        <f t="shared" si="123"/>
        <v>11.457644424365906</v>
      </c>
      <c r="AS152" s="100">
        <f t="shared" si="68"/>
        <v>0</v>
      </c>
    </row>
    <row r="153" spans="1:45" s="216" customFormat="1">
      <c r="A153" s="1393" t="s">
        <v>1226</v>
      </c>
      <c r="B153" s="683" t="s">
        <v>1135</v>
      </c>
      <c r="C153" s="684">
        <v>586102.20284357993</v>
      </c>
      <c r="D153" s="685">
        <v>41639</v>
      </c>
      <c r="E153" s="691">
        <v>21</v>
      </c>
      <c r="F153" s="282" t="s">
        <v>876</v>
      </c>
      <c r="G153" s="687" t="s">
        <v>662</v>
      </c>
      <c r="H153" s="1310" t="s">
        <v>638</v>
      </c>
      <c r="I153" s="137">
        <f t="shared" si="113"/>
        <v>55</v>
      </c>
      <c r="J153" s="223">
        <f t="shared" si="0"/>
        <v>0.96699999999999997</v>
      </c>
      <c r="K153" s="223">
        <f t="shared" si="1"/>
        <v>3.3000000000000002E-2</v>
      </c>
      <c r="L153" s="223">
        <f t="shared" si="2"/>
        <v>0</v>
      </c>
      <c r="M153" s="445">
        <f t="shared" si="114"/>
        <v>1</v>
      </c>
      <c r="N153" s="445">
        <f t="shared" si="114"/>
        <v>1.028</v>
      </c>
      <c r="O153" s="445">
        <f t="shared" si="114"/>
        <v>1.0382800000000001</v>
      </c>
      <c r="P153" s="445">
        <f t="shared" si="114"/>
        <v>1.0465862400000001</v>
      </c>
      <c r="Q153" s="440">
        <f t="shared" si="45"/>
        <v>5861.0220284357993</v>
      </c>
      <c r="R153" s="134">
        <f t="shared" si="46"/>
        <v>5861.0220284357993</v>
      </c>
      <c r="S153" s="134">
        <f t="shared" si="47"/>
        <v>6025.1306452320014</v>
      </c>
      <c r="T153" s="134">
        <f t="shared" si="48"/>
        <v>6085.3819516843223</v>
      </c>
      <c r="U153" s="1069">
        <f t="shared" si="49"/>
        <v>6134.0650072977969</v>
      </c>
      <c r="V153" s="134">
        <f t="shared" si="116"/>
        <v>25524.894240075111</v>
      </c>
      <c r="W153" s="100">
        <f t="shared" si="115"/>
        <v>888.03364067209077</v>
      </c>
      <c r="X153" s="100">
        <f t="shared" si="115"/>
        <v>10656.403688065089</v>
      </c>
      <c r="Y153" s="100">
        <f t="shared" si="115"/>
        <v>10656.403688065089</v>
      </c>
      <c r="Z153" s="151">
        <f t="shared" si="115"/>
        <v>10656.403688065089</v>
      </c>
      <c r="AA153" s="448">
        <f t="shared" si="51"/>
        <v>888.03364067209077</v>
      </c>
      <c r="AB153" s="448">
        <f t="shared" si="52"/>
        <v>10954.782991330912</v>
      </c>
      <c r="AC153" s="448">
        <f t="shared" si="53"/>
        <v>11064.330821244223</v>
      </c>
      <c r="AD153" s="448">
        <f t="shared" si="54"/>
        <v>11152.845467814175</v>
      </c>
      <c r="AE153" s="285"/>
      <c r="AF153" s="100">
        <f t="shared" si="55"/>
        <v>585214.16920290783</v>
      </c>
      <c r="AG153" s="100">
        <f t="shared" si="56"/>
        <v>590645.38294925832</v>
      </c>
      <c r="AH153" s="100">
        <f t="shared" si="57"/>
        <v>585487.5059575066</v>
      </c>
      <c r="AI153" s="151">
        <f t="shared" si="58"/>
        <v>579018.56053735258</v>
      </c>
      <c r="AJ153" s="100">
        <f t="shared" si="117"/>
        <v>34830.455454440744</v>
      </c>
      <c r="AK153" s="100">
        <f t="shared" si="118"/>
        <v>32218.016777504214</v>
      </c>
      <c r="AL153" s="100">
        <f t="shared" si="61"/>
        <v>32141.881035714461</v>
      </c>
      <c r="AM153" s="151">
        <f t="shared" si="62"/>
        <v>31997.513647158867</v>
      </c>
      <c r="AN153" s="100">
        <f t="shared" si="119"/>
        <v>139168.71669559751</v>
      </c>
      <c r="AO153" s="100">
        <f t="shared" si="120"/>
        <v>164693.61093567262</v>
      </c>
      <c r="AP153" s="100">
        <f t="shared" si="121"/>
        <v>159258.72177479541</v>
      </c>
      <c r="AQ153" s="100">
        <f t="shared" si="122"/>
        <v>0</v>
      </c>
      <c r="AR153" s="100">
        <f t="shared" si="123"/>
        <v>5434.8891608771964</v>
      </c>
      <c r="AS153" s="100">
        <f t="shared" si="68"/>
        <v>0</v>
      </c>
    </row>
    <row r="154" spans="1:45" s="216" customFormat="1">
      <c r="A154" s="1393" t="s">
        <v>1226</v>
      </c>
      <c r="B154" s="683" t="s">
        <v>1136</v>
      </c>
      <c r="C154" s="684">
        <v>10436.160284279998</v>
      </c>
      <c r="D154" s="685">
        <v>41639</v>
      </c>
      <c r="E154" s="691">
        <v>15</v>
      </c>
      <c r="F154" s="282" t="s">
        <v>876</v>
      </c>
      <c r="G154" s="687" t="s">
        <v>662</v>
      </c>
      <c r="H154" s="1310" t="s">
        <v>638</v>
      </c>
      <c r="I154" s="137">
        <f t="shared" si="113"/>
        <v>30</v>
      </c>
      <c r="J154" s="223">
        <f t="shared" si="0"/>
        <v>0.96699999999999997</v>
      </c>
      <c r="K154" s="223">
        <f t="shared" si="1"/>
        <v>3.3000000000000002E-2</v>
      </c>
      <c r="L154" s="223">
        <f t="shared" si="2"/>
        <v>0</v>
      </c>
      <c r="M154" s="445">
        <f t="shared" si="114"/>
        <v>1</v>
      </c>
      <c r="N154" s="445">
        <f t="shared" si="114"/>
        <v>1.028</v>
      </c>
      <c r="O154" s="445">
        <f t="shared" si="114"/>
        <v>1.0382800000000001</v>
      </c>
      <c r="P154" s="445">
        <f t="shared" si="114"/>
        <v>1.0465862400000001</v>
      </c>
      <c r="Q154" s="440">
        <f t="shared" si="45"/>
        <v>104.36160284279998</v>
      </c>
      <c r="R154" s="134">
        <f t="shared" si="46"/>
        <v>104.36160284279998</v>
      </c>
      <c r="S154" s="134">
        <f t="shared" si="47"/>
        <v>107.28372772239838</v>
      </c>
      <c r="T154" s="134">
        <f t="shared" si="48"/>
        <v>108.35656499962238</v>
      </c>
      <c r="U154" s="1069">
        <f t="shared" si="49"/>
        <v>109.22341751961936</v>
      </c>
      <c r="V154" s="134">
        <f t="shared" si="116"/>
        <v>454.49733209723445</v>
      </c>
      <c r="W154" s="100">
        <f t="shared" si="115"/>
        <v>28.989334122999995</v>
      </c>
      <c r="X154" s="100">
        <f t="shared" si="115"/>
        <v>347.87200947599996</v>
      </c>
      <c r="Y154" s="100">
        <f t="shared" si="115"/>
        <v>347.87200947599996</v>
      </c>
      <c r="Z154" s="151">
        <f t="shared" si="115"/>
        <v>347.87200947599996</v>
      </c>
      <c r="AA154" s="448">
        <f t="shared" si="51"/>
        <v>28.989334122999995</v>
      </c>
      <c r="AB154" s="448">
        <f t="shared" si="52"/>
        <v>357.61242574132797</v>
      </c>
      <c r="AC154" s="448">
        <f t="shared" si="53"/>
        <v>361.18854999874128</v>
      </c>
      <c r="AD154" s="448">
        <f t="shared" si="54"/>
        <v>364.07805839873123</v>
      </c>
      <c r="AE154" s="285"/>
      <c r="AF154" s="100">
        <f t="shared" si="55"/>
        <v>10407.170950156999</v>
      </c>
      <c r="AG154" s="100">
        <f t="shared" si="56"/>
        <v>10340.959311020066</v>
      </c>
      <c r="AH154" s="100">
        <f t="shared" si="57"/>
        <v>10083.180354131524</v>
      </c>
      <c r="AI154" s="151">
        <f t="shared" si="58"/>
        <v>9799.7677385658462</v>
      </c>
      <c r="AJ154" s="100">
        <f t="shared" si="117"/>
        <v>632.60524923210596</v>
      </c>
      <c r="AK154" s="100">
        <f t="shared" si="118"/>
        <v>729.88696093805038</v>
      </c>
      <c r="AL154" s="100">
        <f t="shared" si="61"/>
        <v>724.18304274747607</v>
      </c>
      <c r="AM154" s="151">
        <f t="shared" si="62"/>
        <v>716.86969698710163</v>
      </c>
      <c r="AN154" s="100">
        <f t="shared" si="119"/>
        <v>2965.9227829387055</v>
      </c>
      <c r="AO154" s="100">
        <f t="shared" si="120"/>
        <v>3420.4201150359399</v>
      </c>
      <c r="AP154" s="100">
        <f t="shared" si="121"/>
        <v>3307.5462512397539</v>
      </c>
      <c r="AQ154" s="100">
        <f t="shared" si="122"/>
        <v>0</v>
      </c>
      <c r="AR154" s="100">
        <f t="shared" si="123"/>
        <v>112.87386379618603</v>
      </c>
      <c r="AS154" s="100">
        <f t="shared" si="68"/>
        <v>0</v>
      </c>
    </row>
    <row r="155" spans="1:45" s="216" customFormat="1">
      <c r="A155" s="1393" t="s">
        <v>1226</v>
      </c>
      <c r="B155" s="683" t="s">
        <v>1137</v>
      </c>
      <c r="C155" s="684">
        <v>53875.419088139999</v>
      </c>
      <c r="D155" s="685">
        <v>41639</v>
      </c>
      <c r="E155" s="691">
        <v>32</v>
      </c>
      <c r="F155" s="282" t="s">
        <v>876</v>
      </c>
      <c r="G155" s="687" t="s">
        <v>662</v>
      </c>
      <c r="H155" s="1310" t="s">
        <v>638</v>
      </c>
      <c r="I155" s="137">
        <f t="shared" si="113"/>
        <v>30</v>
      </c>
      <c r="J155" s="223">
        <f t="shared" si="0"/>
        <v>0.96699999999999997</v>
      </c>
      <c r="K155" s="223">
        <f t="shared" si="1"/>
        <v>3.3000000000000002E-2</v>
      </c>
      <c r="L155" s="223">
        <f t="shared" si="2"/>
        <v>0</v>
      </c>
      <c r="M155" s="445">
        <f t="shared" si="114"/>
        <v>1</v>
      </c>
      <c r="N155" s="445">
        <f t="shared" si="114"/>
        <v>1.028</v>
      </c>
      <c r="O155" s="445">
        <f t="shared" si="114"/>
        <v>1.0382800000000001</v>
      </c>
      <c r="P155" s="445">
        <f t="shared" si="114"/>
        <v>1.0465862400000001</v>
      </c>
      <c r="Q155" s="440">
        <f t="shared" si="45"/>
        <v>538.75419088139995</v>
      </c>
      <c r="R155" s="134">
        <f t="shared" si="46"/>
        <v>538.75419088139995</v>
      </c>
      <c r="S155" s="134">
        <f t="shared" si="47"/>
        <v>553.8393082260792</v>
      </c>
      <c r="T155" s="134">
        <f t="shared" si="48"/>
        <v>559.37770130833997</v>
      </c>
      <c r="U155" s="1069">
        <f t="shared" si="49"/>
        <v>563.85272291880676</v>
      </c>
      <c r="V155" s="134">
        <f t="shared" si="116"/>
        <v>2346.2876742190028</v>
      </c>
      <c r="W155" s="100">
        <f t="shared" si="115"/>
        <v>149.6539419115</v>
      </c>
      <c r="X155" s="100">
        <f t="shared" si="115"/>
        <v>1795.847302938</v>
      </c>
      <c r="Y155" s="100">
        <f t="shared" si="115"/>
        <v>1795.847302938</v>
      </c>
      <c r="Z155" s="151">
        <f t="shared" si="115"/>
        <v>1795.847302938</v>
      </c>
      <c r="AA155" s="448">
        <f t="shared" si="51"/>
        <v>149.6539419115</v>
      </c>
      <c r="AB155" s="448">
        <f t="shared" si="52"/>
        <v>1846.131027420264</v>
      </c>
      <c r="AC155" s="448">
        <f t="shared" si="53"/>
        <v>1864.5923376944668</v>
      </c>
      <c r="AD155" s="448">
        <f t="shared" si="54"/>
        <v>1879.5090763960225</v>
      </c>
      <c r="AE155" s="285"/>
      <c r="AF155" s="100">
        <f t="shared" si="55"/>
        <v>53725.765146228499</v>
      </c>
      <c r="AG155" s="100">
        <f t="shared" si="56"/>
        <v>53383.955542902637</v>
      </c>
      <c r="AH155" s="100">
        <f t="shared" si="57"/>
        <v>52053.202760637192</v>
      </c>
      <c r="AI155" s="151">
        <f t="shared" si="58"/>
        <v>50590.119306326262</v>
      </c>
      <c r="AJ155" s="100">
        <f t="shared" si="117"/>
        <v>3265.7483203927532</v>
      </c>
      <c r="AK155" s="100">
        <f t="shared" si="118"/>
        <v>3767.9534269647588</v>
      </c>
      <c r="AL155" s="100">
        <f t="shared" si="61"/>
        <v>3738.5076370774059</v>
      </c>
      <c r="AM155" s="151">
        <f t="shared" si="62"/>
        <v>3700.7533714237679</v>
      </c>
      <c r="AN155" s="100">
        <f t="shared" si="119"/>
        <v>15311.218739575859</v>
      </c>
      <c r="AO155" s="100">
        <f t="shared" si="120"/>
        <v>17657.506413794861</v>
      </c>
      <c r="AP155" s="100">
        <f t="shared" si="121"/>
        <v>17074.808702139631</v>
      </c>
      <c r="AQ155" s="100">
        <f t="shared" si="122"/>
        <v>0</v>
      </c>
      <c r="AR155" s="100">
        <f t="shared" si="123"/>
        <v>582.69771165523048</v>
      </c>
      <c r="AS155" s="100">
        <f t="shared" si="68"/>
        <v>0</v>
      </c>
    </row>
    <row r="156" spans="1:45" s="216" customFormat="1">
      <c r="A156" s="1365"/>
      <c r="B156" s="1379"/>
      <c r="C156" s="684">
        <v>13880.047864184999</v>
      </c>
      <c r="D156" s="690">
        <v>41456</v>
      </c>
      <c r="E156" s="691">
        <v>21</v>
      </c>
      <c r="F156" s="282" t="s">
        <v>876</v>
      </c>
      <c r="G156" s="687" t="s">
        <v>638</v>
      </c>
      <c r="H156" s="1060" t="s">
        <v>662</v>
      </c>
      <c r="I156" s="137">
        <f t="shared" si="113"/>
        <v>55</v>
      </c>
      <c r="J156" s="223">
        <f t="shared" si="0"/>
        <v>0.96699999999999997</v>
      </c>
      <c r="K156" s="223">
        <f t="shared" si="1"/>
        <v>3.3000000000000002E-2</v>
      </c>
      <c r="L156" s="223">
        <f t="shared" si="2"/>
        <v>0</v>
      </c>
      <c r="M156" s="445">
        <f t="shared" si="114"/>
        <v>1</v>
      </c>
      <c r="N156" s="445">
        <f t="shared" si="114"/>
        <v>1.028</v>
      </c>
      <c r="O156" s="445">
        <f t="shared" si="114"/>
        <v>1.0382800000000001</v>
      </c>
      <c r="P156" s="445">
        <f t="shared" si="114"/>
        <v>1.0465862400000001</v>
      </c>
      <c r="Q156" s="440">
        <f t="shared" si="45"/>
        <v>138.80047864184999</v>
      </c>
      <c r="R156" s="134">
        <f t="shared" si="46"/>
        <v>138.80047864184999</v>
      </c>
      <c r="S156" s="134">
        <f t="shared" si="47"/>
        <v>142.68689204382179</v>
      </c>
      <c r="T156" s="134">
        <f t="shared" si="48"/>
        <v>144.11376096426002</v>
      </c>
      <c r="U156" s="1069">
        <f t="shared" si="49"/>
        <v>145.2666710519741</v>
      </c>
      <c r="V156" s="134">
        <f t="shared" si="116"/>
        <v>145.2666710519741</v>
      </c>
      <c r="W156" s="100">
        <f t="shared" si="115"/>
        <v>126.18225331077271</v>
      </c>
      <c r="X156" s="100">
        <f t="shared" si="115"/>
        <v>252.36450662154542</v>
      </c>
      <c r="Y156" s="100">
        <f t="shared" si="115"/>
        <v>252.36450662154542</v>
      </c>
      <c r="Z156" s="151">
        <f t="shared" si="115"/>
        <v>252.36450662154542</v>
      </c>
      <c r="AA156" s="448">
        <f t="shared" si="51"/>
        <v>126.18225331077271</v>
      </c>
      <c r="AB156" s="448">
        <f t="shared" si="52"/>
        <v>259.43071280694869</v>
      </c>
      <c r="AC156" s="448">
        <f t="shared" si="53"/>
        <v>262.02501993501818</v>
      </c>
      <c r="AD156" s="448">
        <f t="shared" si="54"/>
        <v>264.12122009449837</v>
      </c>
      <c r="AE156" s="285"/>
      <c r="AF156" s="100">
        <f t="shared" si="55"/>
        <v>13753.865610874225</v>
      </c>
      <c r="AG156" s="100">
        <f t="shared" si="56"/>
        <v>13879.543135171756</v>
      </c>
      <c r="AH156" s="100">
        <f t="shared" si="57"/>
        <v>13756.313546588457</v>
      </c>
      <c r="AI156" s="151">
        <f t="shared" si="58"/>
        <v>13602.242834866665</v>
      </c>
      <c r="AJ156" s="100">
        <f t="shared" si="117"/>
        <v>923.90645874147776</v>
      </c>
      <c r="AK156" s="100">
        <f t="shared" si="118"/>
        <v>759.09426567313187</v>
      </c>
      <c r="AL156" s="100">
        <f t="shared" si="61"/>
        <v>757.25230761220257</v>
      </c>
      <c r="AM156" s="151">
        <f t="shared" si="62"/>
        <v>753.80196214969828</v>
      </c>
      <c r="AN156" s="100">
        <f t="shared" si="119"/>
        <v>753.80196214969828</v>
      </c>
      <c r="AO156" s="100">
        <f t="shared" si="120"/>
        <v>899.06863320167236</v>
      </c>
      <c r="AP156" s="100">
        <f t="shared" si="121"/>
        <v>869.3993683060171</v>
      </c>
      <c r="AQ156" s="100">
        <f t="shared" si="122"/>
        <v>0</v>
      </c>
      <c r="AR156" s="100">
        <f t="shared" si="123"/>
        <v>29.669264895655189</v>
      </c>
      <c r="AS156" s="100">
        <f t="shared" si="68"/>
        <v>0</v>
      </c>
    </row>
    <row r="157" spans="1:45" s="216" customFormat="1">
      <c r="A157" s="1365"/>
      <c r="B157" s="1379"/>
      <c r="C157" s="684">
        <v>254.38043737499999</v>
      </c>
      <c r="D157" s="690">
        <v>41456</v>
      </c>
      <c r="E157" s="691">
        <v>15</v>
      </c>
      <c r="F157" s="282" t="s">
        <v>876</v>
      </c>
      <c r="G157" s="687" t="s">
        <v>638</v>
      </c>
      <c r="H157" s="1060" t="s">
        <v>662</v>
      </c>
      <c r="I157" s="137">
        <f t="shared" si="113"/>
        <v>30</v>
      </c>
      <c r="J157" s="223">
        <f t="shared" si="0"/>
        <v>0.96699999999999997</v>
      </c>
      <c r="K157" s="223">
        <f t="shared" si="1"/>
        <v>3.3000000000000002E-2</v>
      </c>
      <c r="L157" s="223">
        <f t="shared" si="2"/>
        <v>0</v>
      </c>
      <c r="M157" s="445">
        <f t="shared" si="114"/>
        <v>1</v>
      </c>
      <c r="N157" s="445">
        <f t="shared" si="114"/>
        <v>1.028</v>
      </c>
      <c r="O157" s="445">
        <f t="shared" si="114"/>
        <v>1.0382800000000001</v>
      </c>
      <c r="P157" s="445">
        <f t="shared" si="114"/>
        <v>1.0465862400000001</v>
      </c>
      <c r="Q157" s="440">
        <f t="shared" si="45"/>
        <v>2.54380437375</v>
      </c>
      <c r="R157" s="134">
        <f t="shared" si="46"/>
        <v>2.54380437375</v>
      </c>
      <c r="S157" s="134">
        <f t="shared" si="47"/>
        <v>2.615030896215</v>
      </c>
      <c r="T157" s="134">
        <f t="shared" si="48"/>
        <v>2.6411812051771504</v>
      </c>
      <c r="U157" s="1069">
        <f t="shared" si="49"/>
        <v>2.6623106548185675</v>
      </c>
      <c r="V157" s="134">
        <f t="shared" si="116"/>
        <v>2.6623106548185675</v>
      </c>
      <c r="W157" s="100">
        <f t="shared" si="115"/>
        <v>4.2396739562499999</v>
      </c>
      <c r="X157" s="100">
        <f t="shared" si="115"/>
        <v>8.4793479124999998</v>
      </c>
      <c r="Y157" s="100">
        <f t="shared" si="115"/>
        <v>8.4793479124999998</v>
      </c>
      <c r="Z157" s="151">
        <f t="shared" si="115"/>
        <v>8.4793479124999998</v>
      </c>
      <c r="AA157" s="448">
        <f t="shared" si="51"/>
        <v>4.2396739562499999</v>
      </c>
      <c r="AB157" s="448">
        <f t="shared" si="52"/>
        <v>8.7167696540499993</v>
      </c>
      <c r="AC157" s="448">
        <f t="shared" si="53"/>
        <v>8.8039373505905001</v>
      </c>
      <c r="AD157" s="448">
        <f t="shared" si="54"/>
        <v>8.8743688493952249</v>
      </c>
      <c r="AE157" s="285"/>
      <c r="AF157" s="100">
        <f t="shared" si="55"/>
        <v>250.14076341875</v>
      </c>
      <c r="AG157" s="100">
        <f t="shared" si="56"/>
        <v>248.42793514042498</v>
      </c>
      <c r="AH157" s="100">
        <f t="shared" si="57"/>
        <v>242.10827714123872</v>
      </c>
      <c r="AI157" s="151">
        <f t="shared" si="58"/>
        <v>235.17077450897341</v>
      </c>
      <c r="AJ157" s="100">
        <f t="shared" si="117"/>
        <v>18.7478382345375</v>
      </c>
      <c r="AK157" s="100">
        <f t="shared" si="118"/>
        <v>17.660175319105299</v>
      </c>
      <c r="AL157" s="100">
        <f t="shared" si="61"/>
        <v>17.519835327675093</v>
      </c>
      <c r="AM157" s="151">
        <f t="shared" si="62"/>
        <v>17.340516731718267</v>
      </c>
      <c r="AN157" s="100">
        <f t="shared" si="119"/>
        <v>17.340516731718267</v>
      </c>
      <c r="AO157" s="100">
        <f t="shared" si="120"/>
        <v>20.002827386536836</v>
      </c>
      <c r="AP157" s="100">
        <f t="shared" si="121"/>
        <v>19.342734082781121</v>
      </c>
      <c r="AQ157" s="100">
        <f t="shared" si="122"/>
        <v>0</v>
      </c>
      <c r="AR157" s="100">
        <f t="shared" si="123"/>
        <v>0.66009330375571562</v>
      </c>
      <c r="AS157" s="100">
        <f t="shared" si="68"/>
        <v>0</v>
      </c>
    </row>
    <row r="158" spans="1:45" s="216" customFormat="1">
      <c r="A158" s="1365"/>
      <c r="B158" s="1379"/>
      <c r="C158" s="684">
        <v>87545.130165200026</v>
      </c>
      <c r="D158" s="690">
        <v>41821</v>
      </c>
      <c r="E158" s="691">
        <v>21</v>
      </c>
      <c r="F158" s="282" t="s">
        <v>876</v>
      </c>
      <c r="G158" s="687"/>
      <c r="H158" s="1060" t="s">
        <v>662</v>
      </c>
      <c r="I158" s="137">
        <f t="shared" si="113"/>
        <v>55</v>
      </c>
      <c r="J158" s="223">
        <f t="shared" si="0"/>
        <v>0.96699999999999997</v>
      </c>
      <c r="K158" s="223">
        <f t="shared" si="1"/>
        <v>3.3000000000000002E-2</v>
      </c>
      <c r="L158" s="223">
        <f t="shared" si="2"/>
        <v>0</v>
      </c>
      <c r="M158" s="445">
        <f t="shared" si="114"/>
        <v>0</v>
      </c>
      <c r="N158" s="445">
        <f t="shared" si="114"/>
        <v>1</v>
      </c>
      <c r="O158" s="445">
        <f t="shared" si="114"/>
        <v>1.01</v>
      </c>
      <c r="P158" s="445">
        <f t="shared" si="114"/>
        <v>1.0180800000000001</v>
      </c>
      <c r="Q158" s="440">
        <f t="shared" si="45"/>
        <v>875.45130165200032</v>
      </c>
      <c r="R158" s="134">
        <f t="shared" si="46"/>
        <v>0</v>
      </c>
      <c r="S158" s="134">
        <f t="shared" si="47"/>
        <v>875.45130165200032</v>
      </c>
      <c r="T158" s="134">
        <f t="shared" si="48"/>
        <v>884.20581466852036</v>
      </c>
      <c r="U158" s="1069">
        <f t="shared" si="49"/>
        <v>891.27946118586863</v>
      </c>
      <c r="V158" s="134">
        <f t="shared" si="116"/>
        <v>891.27946118586863</v>
      </c>
      <c r="W158" s="100">
        <f t="shared" si="115"/>
        <v>0</v>
      </c>
      <c r="X158" s="100">
        <f t="shared" si="115"/>
        <v>795.8648196836366</v>
      </c>
      <c r="Y158" s="100">
        <f t="shared" si="115"/>
        <v>1591.7296393672732</v>
      </c>
      <c r="Z158" s="151">
        <f t="shared" si="115"/>
        <v>1591.7296393672732</v>
      </c>
      <c r="AA158" s="448">
        <f t="shared" si="51"/>
        <v>0</v>
      </c>
      <c r="AB158" s="448">
        <f t="shared" si="52"/>
        <v>795.8648196836366</v>
      </c>
      <c r="AC158" s="448">
        <f t="shared" si="53"/>
        <v>1607.646935760946</v>
      </c>
      <c r="AD158" s="448">
        <f t="shared" si="54"/>
        <v>1620.5081112470336</v>
      </c>
      <c r="AE158" s="285"/>
      <c r="AF158" s="100">
        <f t="shared" si="55"/>
        <v>0</v>
      </c>
      <c r="AG158" s="100">
        <f t="shared" si="56"/>
        <v>86749.265345516382</v>
      </c>
      <c r="AH158" s="100">
        <f t="shared" si="57"/>
        <v>86009.111063210599</v>
      </c>
      <c r="AI158" s="151">
        <f t="shared" si="58"/>
        <v>85076.675840469252</v>
      </c>
      <c r="AJ158" s="100">
        <f t="shared" si="117"/>
        <v>0</v>
      </c>
      <c r="AK158" s="100">
        <f t="shared" si="118"/>
        <v>3918.8383721222262</v>
      </c>
      <c r="AL158" s="100">
        <f t="shared" si="61"/>
        <v>4703.974934036527</v>
      </c>
      <c r="AM158" s="151">
        <f t="shared" si="62"/>
        <v>4683.2684415039266</v>
      </c>
      <c r="AN158" s="100">
        <f t="shared" si="119"/>
        <v>4683.2684415039266</v>
      </c>
      <c r="AO158" s="100">
        <f t="shared" si="120"/>
        <v>5574.5479026897956</v>
      </c>
      <c r="AP158" s="100">
        <f t="shared" si="121"/>
        <v>0</v>
      </c>
      <c r="AQ158" s="100">
        <f t="shared" si="122"/>
        <v>5390.5878219010319</v>
      </c>
      <c r="AR158" s="100">
        <f t="shared" si="123"/>
        <v>183.96008078876326</v>
      </c>
      <c r="AS158" s="100">
        <f t="shared" si="68"/>
        <v>0</v>
      </c>
    </row>
    <row r="159" spans="1:45" s="216" customFormat="1">
      <c r="A159" s="1365"/>
      <c r="B159" s="1379"/>
      <c r="C159" s="684">
        <v>1604.661908</v>
      </c>
      <c r="D159" s="690">
        <v>41821</v>
      </c>
      <c r="E159" s="691">
        <v>15</v>
      </c>
      <c r="F159" s="282" t="s">
        <v>876</v>
      </c>
      <c r="G159" s="687"/>
      <c r="H159" s="1060" t="s">
        <v>662</v>
      </c>
      <c r="I159" s="137">
        <f t="shared" si="113"/>
        <v>30</v>
      </c>
      <c r="J159" s="223">
        <f t="shared" si="0"/>
        <v>0.96699999999999997</v>
      </c>
      <c r="K159" s="223">
        <f t="shared" si="1"/>
        <v>3.3000000000000002E-2</v>
      </c>
      <c r="L159" s="223">
        <f t="shared" si="2"/>
        <v>0</v>
      </c>
      <c r="M159" s="445">
        <f t="shared" si="114"/>
        <v>0</v>
      </c>
      <c r="N159" s="445">
        <f t="shared" si="114"/>
        <v>1</v>
      </c>
      <c r="O159" s="445">
        <f t="shared" si="114"/>
        <v>1.01</v>
      </c>
      <c r="P159" s="445">
        <f t="shared" si="114"/>
        <v>1.0180800000000001</v>
      </c>
      <c r="Q159" s="440">
        <f t="shared" ref="Q159:Q187" si="124">C159*$B$6</f>
        <v>16.046619079999999</v>
      </c>
      <c r="R159" s="134">
        <f t="shared" ref="R159:R187" si="125">$Q159*M159</f>
        <v>0</v>
      </c>
      <c r="S159" s="134">
        <f t="shared" ref="S159:S187" si="126">$Q159*N159</f>
        <v>16.046619079999999</v>
      </c>
      <c r="T159" s="134">
        <f t="shared" ref="T159:T187" si="127">$Q159*O159</f>
        <v>16.2070852708</v>
      </c>
      <c r="U159" s="1069">
        <f t="shared" ref="U159:U187" si="128">$Q159*P159</f>
        <v>16.336741952966399</v>
      </c>
      <c r="V159" s="134">
        <f t="shared" si="116"/>
        <v>16.336741952966399</v>
      </c>
      <c r="W159" s="100">
        <f t="shared" si="115"/>
        <v>0</v>
      </c>
      <c r="X159" s="100">
        <f t="shared" si="115"/>
        <v>26.744365133333336</v>
      </c>
      <c r="Y159" s="100">
        <f t="shared" si="115"/>
        <v>53.488730266666671</v>
      </c>
      <c r="Z159" s="151">
        <f t="shared" si="115"/>
        <v>53.488730266666671</v>
      </c>
      <c r="AA159" s="448">
        <f t="shared" ref="AA159:AA187" si="129">W159*M159</f>
        <v>0</v>
      </c>
      <c r="AB159" s="448">
        <f t="shared" ref="AB159:AB187" si="130">X159*N159</f>
        <v>26.744365133333336</v>
      </c>
      <c r="AC159" s="448">
        <f t="shared" ref="AC159:AC187" si="131">Y159*O159</f>
        <v>54.023617569333339</v>
      </c>
      <c r="AD159" s="448">
        <f t="shared" ref="AD159:AD187" si="132">Z159*P159</f>
        <v>54.455806509888006</v>
      </c>
      <c r="AE159" s="285"/>
      <c r="AF159" s="100">
        <f t="shared" ref="AF159:AF187" si="133">IF(YEAR($D159)=AF$58,$C159-AA159,IF(YEAR($D159)&lt;AF$58,AE159*$B$10-AA159,0))</f>
        <v>0</v>
      </c>
      <c r="AG159" s="100">
        <f t="shared" ref="AG159:AG187" si="134">IF(YEAR($D159)=AG$58,$C159-AB159,IF(YEAR($D159)&lt;AG$58,AF159*$B$11-AB159,0))</f>
        <v>1577.9175428666667</v>
      </c>
      <c r="AH159" s="100">
        <f t="shared" ref="AH159:AH187" si="135">IF(YEAR($D159)=AH$58,$C159-AC159,IF(YEAR($D159)&lt;AH$58,AG159*$B$12-AC159,0))</f>
        <v>1539.673100726</v>
      </c>
      <c r="AI159" s="151">
        <f t="shared" ref="AI159:AI187" si="136">IF(YEAR($D159)=AI$58,$C159-AD159,IF(YEAR($D159)&lt;AI$58,AH159*$B$13-AD159,0))</f>
        <v>1497.5346790219201</v>
      </c>
      <c r="AJ159" s="100">
        <f t="shared" si="117"/>
        <v>0</v>
      </c>
      <c r="AK159" s="100">
        <f t="shared" si="118"/>
        <v>83.549396676533334</v>
      </c>
      <c r="AL159" s="100">
        <f t="shared" ref="AL159:AL187" si="137">AH159*$B$5+AC159</f>
        <v>109.45184919546934</v>
      </c>
      <c r="AM159" s="151">
        <f t="shared" ref="AM159:AM187" si="138">AI159*$B$5+AD159</f>
        <v>108.36705495467712</v>
      </c>
      <c r="AN159" s="100">
        <f t="shared" si="119"/>
        <v>108.36705495467712</v>
      </c>
      <c r="AO159" s="100">
        <f t="shared" si="120"/>
        <v>124.70379690764352</v>
      </c>
      <c r="AP159" s="100">
        <f t="shared" si="121"/>
        <v>0</v>
      </c>
      <c r="AQ159" s="100">
        <f t="shared" si="122"/>
        <v>120.58857160969129</v>
      </c>
      <c r="AR159" s="100">
        <f t="shared" si="123"/>
        <v>4.1152252979522368</v>
      </c>
      <c r="AS159" s="100">
        <f t="shared" ref="AS159:AS187" si="139">$AO159*L159</f>
        <v>0</v>
      </c>
    </row>
    <row r="160" spans="1:45" s="216" customFormat="1">
      <c r="A160" s="688" t="s">
        <v>896</v>
      </c>
      <c r="B160" s="689" t="s">
        <v>631</v>
      </c>
      <c r="C160" s="684">
        <v>111085.12529411999</v>
      </c>
      <c r="D160" s="690">
        <v>41456</v>
      </c>
      <c r="E160" s="691">
        <v>15</v>
      </c>
      <c r="F160" s="282" t="s">
        <v>876</v>
      </c>
      <c r="G160" s="687" t="s">
        <v>662</v>
      </c>
      <c r="H160" s="1060" t="s">
        <v>662</v>
      </c>
      <c r="I160" s="137">
        <f t="shared" si="113"/>
        <v>30</v>
      </c>
      <c r="J160" s="223">
        <f t="shared" si="0"/>
        <v>0.96699999999999997</v>
      </c>
      <c r="K160" s="223">
        <f t="shared" si="1"/>
        <v>3.3000000000000002E-2</v>
      </c>
      <c r="L160" s="223">
        <f t="shared" si="2"/>
        <v>0</v>
      </c>
      <c r="M160" s="445">
        <f t="shared" si="114"/>
        <v>1</v>
      </c>
      <c r="N160" s="445">
        <f t="shared" si="114"/>
        <v>1.028</v>
      </c>
      <c r="O160" s="445">
        <f t="shared" si="114"/>
        <v>1.0382800000000001</v>
      </c>
      <c r="P160" s="445">
        <f t="shared" si="114"/>
        <v>1.0465862400000001</v>
      </c>
      <c r="Q160" s="440">
        <f t="shared" si="124"/>
        <v>1110.8512529411998</v>
      </c>
      <c r="R160" s="134">
        <f t="shared" si="125"/>
        <v>1110.8512529411998</v>
      </c>
      <c r="S160" s="134">
        <f t="shared" si="126"/>
        <v>1141.9550880235536</v>
      </c>
      <c r="T160" s="134">
        <f t="shared" si="127"/>
        <v>1153.374638903789</v>
      </c>
      <c r="U160" s="1069">
        <f t="shared" si="128"/>
        <v>1162.6016360150195</v>
      </c>
      <c r="V160" s="134">
        <f t="shared" si="116"/>
        <v>1162.6016360150195</v>
      </c>
      <c r="W160" s="100">
        <f t="shared" si="115"/>
        <v>1851.4187549019998</v>
      </c>
      <c r="X160" s="100">
        <f t="shared" si="115"/>
        <v>3702.8375098039996</v>
      </c>
      <c r="Y160" s="100">
        <f t="shared" si="115"/>
        <v>3702.8375098039996</v>
      </c>
      <c r="Z160" s="151">
        <f t="shared" si="115"/>
        <v>3702.8375098039996</v>
      </c>
      <c r="AA160" s="448">
        <f t="shared" si="129"/>
        <v>1851.4187549019998</v>
      </c>
      <c r="AB160" s="448">
        <f t="shared" si="130"/>
        <v>3806.5169600785116</v>
      </c>
      <c r="AC160" s="448">
        <f t="shared" si="131"/>
        <v>3844.5821296792969</v>
      </c>
      <c r="AD160" s="448">
        <f t="shared" si="132"/>
        <v>3875.3387867167316</v>
      </c>
      <c r="AE160" s="285"/>
      <c r="AF160" s="100">
        <f t="shared" si="133"/>
        <v>109233.70653921799</v>
      </c>
      <c r="AG160" s="100">
        <f t="shared" si="134"/>
        <v>108485.73336223759</v>
      </c>
      <c r="AH160" s="100">
        <f t="shared" si="135"/>
        <v>105726.00856618067</v>
      </c>
      <c r="AI160" s="151">
        <f t="shared" si="136"/>
        <v>102696.47784799337</v>
      </c>
      <c r="AJ160" s="100">
        <f t="shared" si="117"/>
        <v>8186.973734176644</v>
      </c>
      <c r="AK160" s="100">
        <f t="shared" si="118"/>
        <v>7712.0033611190647</v>
      </c>
      <c r="AL160" s="100">
        <f t="shared" si="137"/>
        <v>7650.7184380618</v>
      </c>
      <c r="AM160" s="151">
        <f t="shared" si="138"/>
        <v>7572.4119892444924</v>
      </c>
      <c r="AN160" s="100">
        <f t="shared" si="119"/>
        <v>7572.4119892444924</v>
      </c>
      <c r="AO160" s="100">
        <f t="shared" si="120"/>
        <v>8735.0136252595112</v>
      </c>
      <c r="AP160" s="100">
        <f t="shared" si="121"/>
        <v>8446.7581756259478</v>
      </c>
      <c r="AQ160" s="100">
        <f t="shared" si="122"/>
        <v>0</v>
      </c>
      <c r="AR160" s="100">
        <f t="shared" si="123"/>
        <v>288.2554496335639</v>
      </c>
      <c r="AS160" s="100">
        <f t="shared" si="139"/>
        <v>0</v>
      </c>
    </row>
    <row r="161" spans="1:45" s="216" customFormat="1">
      <c r="A161" s="688" t="s">
        <v>896</v>
      </c>
      <c r="B161" s="689" t="s">
        <v>887</v>
      </c>
      <c r="C161" s="684">
        <v>-447926.83807400282</v>
      </c>
      <c r="D161" s="690">
        <v>41639</v>
      </c>
      <c r="E161" s="691">
        <v>15</v>
      </c>
      <c r="F161" s="282" t="s">
        <v>876</v>
      </c>
      <c r="G161" s="687" t="s">
        <v>662</v>
      </c>
      <c r="H161" s="1060" t="s">
        <v>662</v>
      </c>
      <c r="I161" s="137">
        <f t="shared" si="113"/>
        <v>30</v>
      </c>
      <c r="J161" s="223">
        <f t="shared" si="0"/>
        <v>0.96699999999999997</v>
      </c>
      <c r="K161" s="223">
        <f t="shared" si="1"/>
        <v>3.3000000000000002E-2</v>
      </c>
      <c r="L161" s="223">
        <f t="shared" si="2"/>
        <v>0</v>
      </c>
      <c r="M161" s="445">
        <f t="shared" si="114"/>
        <v>1</v>
      </c>
      <c r="N161" s="445">
        <f t="shared" si="114"/>
        <v>1.028</v>
      </c>
      <c r="O161" s="445">
        <f t="shared" si="114"/>
        <v>1.0382800000000001</v>
      </c>
      <c r="P161" s="445">
        <f t="shared" si="114"/>
        <v>1.0465862400000001</v>
      </c>
      <c r="Q161" s="440">
        <f t="shared" si="124"/>
        <v>-4479.2683807400281</v>
      </c>
      <c r="R161" s="134">
        <f t="shared" si="125"/>
        <v>-4479.2683807400281</v>
      </c>
      <c r="S161" s="134">
        <f t="shared" si="126"/>
        <v>-4604.6878954007489</v>
      </c>
      <c r="T161" s="134">
        <f t="shared" si="127"/>
        <v>-4650.7347743547571</v>
      </c>
      <c r="U161" s="1069">
        <f t="shared" si="128"/>
        <v>-4687.9406525495951</v>
      </c>
      <c r="V161" s="134">
        <f t="shared" si="116"/>
        <v>-4687.9406525495951</v>
      </c>
      <c r="W161" s="100">
        <f t="shared" si="115"/>
        <v>-1244.2412168722299</v>
      </c>
      <c r="X161" s="100">
        <f t="shared" si="115"/>
        <v>-14930.89460246676</v>
      </c>
      <c r="Y161" s="100">
        <f t="shared" si="115"/>
        <v>-14930.89460246676</v>
      </c>
      <c r="Z161" s="151">
        <f t="shared" si="115"/>
        <v>-14930.89460246676</v>
      </c>
      <c r="AA161" s="448">
        <f t="shared" si="129"/>
        <v>-1244.2412168722299</v>
      </c>
      <c r="AB161" s="448">
        <f t="shared" si="130"/>
        <v>-15348.95965133583</v>
      </c>
      <c r="AC161" s="448">
        <f t="shared" si="131"/>
        <v>-15502.449247849188</v>
      </c>
      <c r="AD161" s="448">
        <f t="shared" si="132"/>
        <v>-15626.468841831984</v>
      </c>
      <c r="AE161" s="285"/>
      <c r="AF161" s="100">
        <f t="shared" si="133"/>
        <v>-446682.59685713059</v>
      </c>
      <c r="AG161" s="100">
        <f t="shared" si="134"/>
        <v>-443840.74991779443</v>
      </c>
      <c r="AH161" s="100">
        <f t="shared" si="135"/>
        <v>-432776.70816912322</v>
      </c>
      <c r="AI161" s="151">
        <f t="shared" si="136"/>
        <v>-420612.45299264428</v>
      </c>
      <c r="AJ161" s="100">
        <f t="shared" si="117"/>
        <v>-27151.831834585806</v>
      </c>
      <c r="AK161" s="100">
        <f t="shared" si="118"/>
        <v>-31327.226648376429</v>
      </c>
      <c r="AL161" s="100">
        <f t="shared" si="137"/>
        <v>-31082.410741937623</v>
      </c>
      <c r="AM161" s="151">
        <f t="shared" si="138"/>
        <v>-30768.517149567175</v>
      </c>
      <c r="AN161" s="100">
        <f t="shared" si="119"/>
        <v>-30768.517149567175</v>
      </c>
      <c r="AO161" s="100">
        <f t="shared" si="120"/>
        <v>-35456.457802116769</v>
      </c>
      <c r="AP161" s="100">
        <f t="shared" si="121"/>
        <v>-34286.394694646915</v>
      </c>
      <c r="AQ161" s="100">
        <f t="shared" si="122"/>
        <v>0</v>
      </c>
      <c r="AR161" s="100">
        <f t="shared" si="123"/>
        <v>-1170.0631074698533</v>
      </c>
      <c r="AS161" s="100">
        <f t="shared" si="139"/>
        <v>0</v>
      </c>
    </row>
    <row r="162" spans="1:45" s="216" customFormat="1">
      <c r="A162" s="688" t="s">
        <v>896</v>
      </c>
      <c r="B162" s="689" t="s">
        <v>887</v>
      </c>
      <c r="C162" s="684">
        <v>972758.28430367995</v>
      </c>
      <c r="D162" s="690">
        <v>41821</v>
      </c>
      <c r="E162" s="691">
        <v>15</v>
      </c>
      <c r="F162" s="282" t="s">
        <v>876</v>
      </c>
      <c r="G162" s="687"/>
      <c r="H162" s="1060" t="s">
        <v>662</v>
      </c>
      <c r="I162" s="137">
        <f t="shared" si="113"/>
        <v>30</v>
      </c>
      <c r="J162" s="223">
        <f t="shared" si="0"/>
        <v>0.96699999999999997</v>
      </c>
      <c r="K162" s="223">
        <f t="shared" si="1"/>
        <v>3.3000000000000002E-2</v>
      </c>
      <c r="L162" s="223">
        <f t="shared" si="2"/>
        <v>0</v>
      </c>
      <c r="M162" s="445">
        <f t="shared" si="114"/>
        <v>0</v>
      </c>
      <c r="N162" s="445">
        <f t="shared" si="114"/>
        <v>1</v>
      </c>
      <c r="O162" s="445">
        <f t="shared" si="114"/>
        <v>1.01</v>
      </c>
      <c r="P162" s="445">
        <f t="shared" si="114"/>
        <v>1.0180800000000001</v>
      </c>
      <c r="Q162" s="440">
        <f t="shared" si="124"/>
        <v>9727.5828430368001</v>
      </c>
      <c r="R162" s="134">
        <f t="shared" si="125"/>
        <v>0</v>
      </c>
      <c r="S162" s="134">
        <f t="shared" si="126"/>
        <v>9727.5828430368001</v>
      </c>
      <c r="T162" s="134">
        <f t="shared" si="127"/>
        <v>9824.8586714671674</v>
      </c>
      <c r="U162" s="1069">
        <f t="shared" si="128"/>
        <v>9903.4575408389064</v>
      </c>
      <c r="V162" s="134">
        <f t="shared" si="116"/>
        <v>9903.4575408389064</v>
      </c>
      <c r="W162" s="100">
        <f t="shared" si="115"/>
        <v>0</v>
      </c>
      <c r="X162" s="100">
        <f t="shared" si="115"/>
        <v>16212.638071727999</v>
      </c>
      <c r="Y162" s="100">
        <f t="shared" si="115"/>
        <v>32425.276143455998</v>
      </c>
      <c r="Z162" s="151">
        <f t="shared" si="115"/>
        <v>32425.276143455998</v>
      </c>
      <c r="AA162" s="448">
        <f t="shared" si="129"/>
        <v>0</v>
      </c>
      <c r="AB162" s="448">
        <f t="shared" si="130"/>
        <v>16212.638071727999</v>
      </c>
      <c r="AC162" s="448">
        <f t="shared" si="131"/>
        <v>32749.528904890558</v>
      </c>
      <c r="AD162" s="448">
        <f t="shared" si="132"/>
        <v>33011.525136129683</v>
      </c>
      <c r="AE162" s="285"/>
      <c r="AF162" s="100">
        <f t="shared" si="133"/>
        <v>0</v>
      </c>
      <c r="AG162" s="100">
        <f t="shared" si="134"/>
        <v>956545.64623195189</v>
      </c>
      <c r="AH162" s="100">
        <f t="shared" si="135"/>
        <v>933361.57378938084</v>
      </c>
      <c r="AI162" s="151">
        <f t="shared" si="136"/>
        <v>907816.94124356622</v>
      </c>
      <c r="AJ162" s="100">
        <f t="shared" si="117"/>
        <v>0</v>
      </c>
      <c r="AK162" s="100">
        <f t="shared" si="118"/>
        <v>50648.28133607826</v>
      </c>
      <c r="AL162" s="100">
        <f t="shared" si="137"/>
        <v>66350.545561308259</v>
      </c>
      <c r="AM162" s="151">
        <f t="shared" si="138"/>
        <v>65692.935020898061</v>
      </c>
      <c r="AN162" s="100">
        <f t="shared" si="119"/>
        <v>65692.935020898061</v>
      </c>
      <c r="AO162" s="100">
        <f t="shared" si="120"/>
        <v>75596.392561736968</v>
      </c>
      <c r="AP162" s="100">
        <f t="shared" si="121"/>
        <v>0</v>
      </c>
      <c r="AQ162" s="100">
        <f t="shared" si="122"/>
        <v>73101.711607199642</v>
      </c>
      <c r="AR162" s="100">
        <f t="shared" si="123"/>
        <v>2494.6809545373198</v>
      </c>
      <c r="AS162" s="100">
        <f t="shared" si="139"/>
        <v>0</v>
      </c>
    </row>
    <row r="163" spans="1:45" s="216" customFormat="1">
      <c r="A163" s="682" t="s">
        <v>896</v>
      </c>
      <c r="B163" s="683" t="s">
        <v>1130</v>
      </c>
      <c r="C163" s="684">
        <v>443705.78571999999</v>
      </c>
      <c r="D163" s="685">
        <v>42004</v>
      </c>
      <c r="E163" s="691">
        <v>15</v>
      </c>
      <c r="F163" s="282" t="s">
        <v>876</v>
      </c>
      <c r="G163" s="687"/>
      <c r="H163" s="1310" t="s">
        <v>638</v>
      </c>
      <c r="I163" s="137">
        <f t="shared" si="113"/>
        <v>30</v>
      </c>
      <c r="J163" s="223">
        <f t="shared" si="0"/>
        <v>0.96699999999999997</v>
      </c>
      <c r="K163" s="223">
        <f t="shared" si="1"/>
        <v>3.3000000000000002E-2</v>
      </c>
      <c r="L163" s="223">
        <f t="shared" si="2"/>
        <v>0</v>
      </c>
      <c r="M163" s="445">
        <f t="shared" si="114"/>
        <v>0</v>
      </c>
      <c r="N163" s="445">
        <f t="shared" si="114"/>
        <v>1</v>
      </c>
      <c r="O163" s="445">
        <f t="shared" si="114"/>
        <v>1.01</v>
      </c>
      <c r="P163" s="445">
        <f t="shared" si="114"/>
        <v>1.0180800000000001</v>
      </c>
      <c r="Q163" s="440">
        <f t="shared" si="124"/>
        <v>4437.0578572000004</v>
      </c>
      <c r="R163" s="134">
        <f t="shared" si="125"/>
        <v>0</v>
      </c>
      <c r="S163" s="134">
        <f t="shared" si="126"/>
        <v>4437.0578572000004</v>
      </c>
      <c r="T163" s="134">
        <f t="shared" si="127"/>
        <v>4481.4284357720007</v>
      </c>
      <c r="U163" s="1069">
        <f t="shared" si="128"/>
        <v>4517.2798632581771</v>
      </c>
      <c r="V163" s="134">
        <f t="shared" si="116"/>
        <v>13977.087214808573</v>
      </c>
      <c r="W163" s="100">
        <f t="shared" si="115"/>
        <v>0</v>
      </c>
      <c r="X163" s="100">
        <f t="shared" si="115"/>
        <v>1232.5160714444442</v>
      </c>
      <c r="Y163" s="100">
        <f t="shared" si="115"/>
        <v>14790.192857333333</v>
      </c>
      <c r="Z163" s="151">
        <f t="shared" si="115"/>
        <v>14790.192857333333</v>
      </c>
      <c r="AA163" s="448">
        <f t="shared" si="129"/>
        <v>0</v>
      </c>
      <c r="AB163" s="448">
        <f t="shared" si="130"/>
        <v>1232.5160714444442</v>
      </c>
      <c r="AC163" s="448">
        <f t="shared" si="131"/>
        <v>14938.094785906667</v>
      </c>
      <c r="AD163" s="448">
        <f t="shared" si="132"/>
        <v>15057.599544193921</v>
      </c>
      <c r="AE163" s="285"/>
      <c r="AF163" s="100">
        <f t="shared" si="133"/>
        <v>0</v>
      </c>
      <c r="AG163" s="100">
        <f t="shared" si="134"/>
        <v>442473.26964855555</v>
      </c>
      <c r="AH163" s="100">
        <f t="shared" si="135"/>
        <v>431959.90755913442</v>
      </c>
      <c r="AI163" s="151">
        <f t="shared" si="136"/>
        <v>420357.98727541353</v>
      </c>
      <c r="AJ163" s="100">
        <f t="shared" si="117"/>
        <v>0</v>
      </c>
      <c r="AK163" s="100">
        <f t="shared" si="118"/>
        <v>17161.553778792444</v>
      </c>
      <c r="AL163" s="100">
        <f t="shared" si="137"/>
        <v>30488.651458035507</v>
      </c>
      <c r="AM163" s="151">
        <f t="shared" si="138"/>
        <v>30190.487086108806</v>
      </c>
      <c r="AN163" s="100">
        <f t="shared" si="119"/>
        <v>80460.621169607621</v>
      </c>
      <c r="AO163" s="100">
        <f t="shared" si="120"/>
        <v>94437.708384416197</v>
      </c>
      <c r="AP163" s="100">
        <f t="shared" si="121"/>
        <v>0</v>
      </c>
      <c r="AQ163" s="100">
        <f t="shared" si="122"/>
        <v>91321.264007730453</v>
      </c>
      <c r="AR163" s="100">
        <f t="shared" si="123"/>
        <v>3116.4443766857348</v>
      </c>
      <c r="AS163" s="100">
        <f t="shared" si="139"/>
        <v>0</v>
      </c>
    </row>
    <row r="164" spans="1:45" s="216" customFormat="1">
      <c r="A164" s="688" t="s">
        <v>897</v>
      </c>
      <c r="B164" s="689" t="s">
        <v>636</v>
      </c>
      <c r="C164" s="684">
        <v>553594.01588065492</v>
      </c>
      <c r="D164" s="690">
        <v>41456</v>
      </c>
      <c r="E164" s="691">
        <v>32</v>
      </c>
      <c r="F164" s="282" t="s">
        <v>876</v>
      </c>
      <c r="G164" s="687" t="s">
        <v>662</v>
      </c>
      <c r="H164" s="1060" t="s">
        <v>662</v>
      </c>
      <c r="I164" s="137">
        <f t="shared" si="113"/>
        <v>30</v>
      </c>
      <c r="J164" s="223">
        <f t="shared" si="0"/>
        <v>0.96699999999999997</v>
      </c>
      <c r="K164" s="223">
        <f t="shared" si="1"/>
        <v>3.3000000000000002E-2</v>
      </c>
      <c r="L164" s="223">
        <f t="shared" si="2"/>
        <v>0</v>
      </c>
      <c r="M164" s="445">
        <f t="shared" si="114"/>
        <v>1</v>
      </c>
      <c r="N164" s="445">
        <f t="shared" si="114"/>
        <v>1.028</v>
      </c>
      <c r="O164" s="445">
        <f t="shared" si="114"/>
        <v>1.0382800000000001</v>
      </c>
      <c r="P164" s="445">
        <f t="shared" si="114"/>
        <v>1.0465862400000001</v>
      </c>
      <c r="Q164" s="440">
        <f t="shared" si="124"/>
        <v>5535.9401588065493</v>
      </c>
      <c r="R164" s="134">
        <f t="shared" si="125"/>
        <v>5535.9401588065493</v>
      </c>
      <c r="S164" s="134">
        <f t="shared" si="126"/>
        <v>5690.946483253133</v>
      </c>
      <c r="T164" s="134">
        <f t="shared" si="127"/>
        <v>5747.8559480856647</v>
      </c>
      <c r="U164" s="1069">
        <f t="shared" si="128"/>
        <v>5793.83879567035</v>
      </c>
      <c r="V164" s="134">
        <f t="shared" si="116"/>
        <v>5793.83879567035</v>
      </c>
      <c r="W164" s="100">
        <f t="shared" si="115"/>
        <v>9226.5669313442486</v>
      </c>
      <c r="X164" s="100">
        <f t="shared" si="115"/>
        <v>18453.133862688497</v>
      </c>
      <c r="Y164" s="100">
        <f t="shared" si="115"/>
        <v>18453.133862688497</v>
      </c>
      <c r="Z164" s="151">
        <f t="shared" si="115"/>
        <v>18453.133862688497</v>
      </c>
      <c r="AA164" s="448">
        <f t="shared" si="129"/>
        <v>9226.5669313442486</v>
      </c>
      <c r="AB164" s="448">
        <f t="shared" si="130"/>
        <v>18969.821610843777</v>
      </c>
      <c r="AC164" s="448">
        <f t="shared" si="131"/>
        <v>19159.519826952215</v>
      </c>
      <c r="AD164" s="448">
        <f t="shared" si="132"/>
        <v>19312.795985567831</v>
      </c>
      <c r="AE164" s="285"/>
      <c r="AF164" s="100">
        <f t="shared" si="133"/>
        <v>544367.4489493107</v>
      </c>
      <c r="AG164" s="100">
        <f t="shared" si="134"/>
        <v>540639.9159090477</v>
      </c>
      <c r="AH164" s="100">
        <f t="shared" si="135"/>
        <v>526886.79524118593</v>
      </c>
      <c r="AI164" s="151">
        <f t="shared" si="136"/>
        <v>511789.09361754754</v>
      </c>
      <c r="AJ164" s="100">
        <f t="shared" si="117"/>
        <v>40799.878970404272</v>
      </c>
      <c r="AK164" s="100">
        <f t="shared" si="118"/>
        <v>38432.858583569498</v>
      </c>
      <c r="AL164" s="100">
        <f t="shared" si="137"/>
        <v>38127.444455634904</v>
      </c>
      <c r="AM164" s="151">
        <f t="shared" si="138"/>
        <v>37737.203355799546</v>
      </c>
      <c r="AN164" s="100">
        <f t="shared" si="119"/>
        <v>37737.203355799546</v>
      </c>
      <c r="AO164" s="100">
        <f t="shared" si="120"/>
        <v>43531.042151469897</v>
      </c>
      <c r="AP164" s="100">
        <f t="shared" si="121"/>
        <v>42094.51776047139</v>
      </c>
      <c r="AQ164" s="100">
        <f t="shared" si="122"/>
        <v>0</v>
      </c>
      <c r="AR164" s="100">
        <f t="shared" si="123"/>
        <v>1436.5243909985068</v>
      </c>
      <c r="AS164" s="100">
        <f t="shared" si="139"/>
        <v>0</v>
      </c>
    </row>
    <row r="165" spans="1:45" s="216" customFormat="1">
      <c r="A165" s="688" t="s">
        <v>897</v>
      </c>
      <c r="B165" s="689" t="s">
        <v>898</v>
      </c>
      <c r="C165" s="684">
        <v>577166.82785311306</v>
      </c>
      <c r="D165" s="690">
        <v>41639</v>
      </c>
      <c r="E165" s="691">
        <v>32</v>
      </c>
      <c r="F165" s="282" t="s">
        <v>876</v>
      </c>
      <c r="G165" s="687" t="s">
        <v>662</v>
      </c>
      <c r="H165" s="1060" t="s">
        <v>662</v>
      </c>
      <c r="I165" s="137">
        <f t="shared" si="113"/>
        <v>30</v>
      </c>
      <c r="J165" s="223">
        <f t="shared" si="0"/>
        <v>0.96699999999999997</v>
      </c>
      <c r="K165" s="223">
        <f t="shared" si="1"/>
        <v>3.3000000000000002E-2</v>
      </c>
      <c r="L165" s="223">
        <f t="shared" si="2"/>
        <v>0</v>
      </c>
      <c r="M165" s="445">
        <f t="shared" si="114"/>
        <v>1</v>
      </c>
      <c r="N165" s="445">
        <f t="shared" si="114"/>
        <v>1.028</v>
      </c>
      <c r="O165" s="445">
        <f t="shared" si="114"/>
        <v>1.0382800000000001</v>
      </c>
      <c r="P165" s="445">
        <f t="shared" si="114"/>
        <v>1.0465862400000001</v>
      </c>
      <c r="Q165" s="440">
        <f t="shared" si="124"/>
        <v>5771.6682785311305</v>
      </c>
      <c r="R165" s="134">
        <f t="shared" si="125"/>
        <v>5771.6682785311305</v>
      </c>
      <c r="S165" s="134">
        <f t="shared" si="126"/>
        <v>5933.2749903300019</v>
      </c>
      <c r="T165" s="134">
        <f t="shared" si="127"/>
        <v>5992.607740233303</v>
      </c>
      <c r="U165" s="1069">
        <f t="shared" si="128"/>
        <v>6040.5486021551687</v>
      </c>
      <c r="V165" s="134">
        <f t="shared" si="116"/>
        <v>6040.5486021551687</v>
      </c>
      <c r="W165" s="100">
        <f t="shared" si="115"/>
        <v>1603.2411884808694</v>
      </c>
      <c r="X165" s="100">
        <f t="shared" si="115"/>
        <v>19238.894261770434</v>
      </c>
      <c r="Y165" s="100">
        <f t="shared" si="115"/>
        <v>19238.894261770434</v>
      </c>
      <c r="Z165" s="151">
        <f t="shared" si="115"/>
        <v>19238.894261770434</v>
      </c>
      <c r="AA165" s="448">
        <f t="shared" si="129"/>
        <v>1603.2411884808694</v>
      </c>
      <c r="AB165" s="448">
        <f t="shared" si="130"/>
        <v>19777.583301100007</v>
      </c>
      <c r="AC165" s="448">
        <f t="shared" si="131"/>
        <v>19975.359134111008</v>
      </c>
      <c r="AD165" s="448">
        <f t="shared" si="132"/>
        <v>20135.162007183895</v>
      </c>
      <c r="AE165" s="285"/>
      <c r="AF165" s="100">
        <f t="shared" si="133"/>
        <v>575563.5866646322</v>
      </c>
      <c r="AG165" s="100">
        <f t="shared" si="134"/>
        <v>571901.78379014181</v>
      </c>
      <c r="AH165" s="100">
        <f t="shared" si="135"/>
        <v>557645.44249393221</v>
      </c>
      <c r="AI165" s="151">
        <f t="shared" si="136"/>
        <v>541971.44402669976</v>
      </c>
      <c r="AJ165" s="100">
        <f t="shared" si="117"/>
        <v>34985.929215029537</v>
      </c>
      <c r="AK165" s="100">
        <f t="shared" si="118"/>
        <v>40366.047517545114</v>
      </c>
      <c r="AL165" s="100">
        <f t="shared" si="137"/>
        <v>40050.595063892564</v>
      </c>
      <c r="AM165" s="151">
        <f t="shared" si="138"/>
        <v>39646.133992145085</v>
      </c>
      <c r="AN165" s="100">
        <f t="shared" si="119"/>
        <v>39646.133992145085</v>
      </c>
      <c r="AO165" s="100">
        <f t="shared" si="120"/>
        <v>45686.682594300255</v>
      </c>
      <c r="AP165" s="100">
        <f t="shared" si="121"/>
        <v>44179.022068688348</v>
      </c>
      <c r="AQ165" s="100">
        <f t="shared" si="122"/>
        <v>0</v>
      </c>
      <c r="AR165" s="100">
        <f t="shared" si="123"/>
        <v>1507.6605256119085</v>
      </c>
      <c r="AS165" s="100">
        <f t="shared" si="139"/>
        <v>0</v>
      </c>
    </row>
    <row r="166" spans="1:45" s="216" customFormat="1">
      <c r="A166" s="688" t="s">
        <v>640</v>
      </c>
      <c r="B166" s="689" t="s">
        <v>899</v>
      </c>
      <c r="C166" s="684">
        <v>84118.727147864993</v>
      </c>
      <c r="D166" s="690">
        <v>41456</v>
      </c>
      <c r="E166" s="691">
        <v>41</v>
      </c>
      <c r="F166" s="282" t="s">
        <v>876</v>
      </c>
      <c r="G166" s="687" t="s">
        <v>662</v>
      </c>
      <c r="H166" s="1060" t="s">
        <v>662</v>
      </c>
      <c r="I166" s="137">
        <f t="shared" si="113"/>
        <v>30</v>
      </c>
      <c r="J166" s="223">
        <f t="shared" si="0"/>
        <v>0</v>
      </c>
      <c r="K166" s="223">
        <f t="shared" si="1"/>
        <v>0</v>
      </c>
      <c r="L166" s="223">
        <f t="shared" si="2"/>
        <v>1</v>
      </c>
      <c r="M166" s="445">
        <f t="shared" ref="M166:P187" si="140">IF(YEAR($D166)&gt;M$58,0,HLOOKUP(M$58,$C$9:$F$13, YEAR($D166)-2011,FALSE))</f>
        <v>1</v>
      </c>
      <c r="N166" s="445">
        <f t="shared" si="140"/>
        <v>1.028</v>
      </c>
      <c r="O166" s="445">
        <f t="shared" si="140"/>
        <v>1.0382800000000001</v>
      </c>
      <c r="P166" s="445">
        <f t="shared" si="140"/>
        <v>1.0465862400000001</v>
      </c>
      <c r="Q166" s="440">
        <f t="shared" si="124"/>
        <v>841.1872714786499</v>
      </c>
      <c r="R166" s="134">
        <f t="shared" si="125"/>
        <v>841.1872714786499</v>
      </c>
      <c r="S166" s="134">
        <f t="shared" si="126"/>
        <v>864.74051508005209</v>
      </c>
      <c r="T166" s="134">
        <f t="shared" si="127"/>
        <v>873.38792023085273</v>
      </c>
      <c r="U166" s="1069">
        <f t="shared" si="128"/>
        <v>880.37502359269956</v>
      </c>
      <c r="V166" s="134">
        <f>IF(H166="nee",U166,IF(G166="ja",S166*(1+$C$16)+T166*(1+$D$16)+U166,R166*(1+$B$16)+S166*(1+$C$16)+T166*(1+$D$16)+U166))</f>
        <v>880.37502359269956</v>
      </c>
      <c r="W166" s="100">
        <f t="shared" ref="W166:Z187" si="141">IF(YEAR($D166)&lt;W$58,$C166/$I166,IF(YEAR($D166)=W$58,(13-MONTH($D166))/12*$C166/$I166,0))</f>
        <v>1401.9787857977499</v>
      </c>
      <c r="X166" s="100">
        <f t="shared" si="141"/>
        <v>2803.9575715954998</v>
      </c>
      <c r="Y166" s="100">
        <f t="shared" si="141"/>
        <v>2803.9575715954998</v>
      </c>
      <c r="Z166" s="151">
        <f t="shared" si="141"/>
        <v>2803.9575715954998</v>
      </c>
      <c r="AA166" s="448">
        <f t="shared" si="129"/>
        <v>1401.9787857977499</v>
      </c>
      <c r="AB166" s="448">
        <f t="shared" si="130"/>
        <v>2882.4683836001736</v>
      </c>
      <c r="AC166" s="448">
        <f t="shared" si="131"/>
        <v>2911.2930674361755</v>
      </c>
      <c r="AD166" s="448">
        <f t="shared" si="132"/>
        <v>2934.5834119756651</v>
      </c>
      <c r="AE166" s="285"/>
      <c r="AF166" s="100">
        <f t="shared" si="133"/>
        <v>82716.748362067243</v>
      </c>
      <c r="AG166" s="100">
        <f t="shared" si="134"/>
        <v>82150.348932604946</v>
      </c>
      <c r="AH166" s="100">
        <f t="shared" si="135"/>
        <v>80060.559354494821</v>
      </c>
      <c r="AI166" s="151">
        <f t="shared" si="136"/>
        <v>77766.46041735512</v>
      </c>
      <c r="AJ166" s="100">
        <f>AF166*$B$4+AA166</f>
        <v>6199.5501907976504</v>
      </c>
      <c r="AK166" s="100">
        <f>AG166*$B$5+AB166</f>
        <v>5839.8809451739517</v>
      </c>
      <c r="AL166" s="100">
        <f t="shared" si="137"/>
        <v>5793.4732041979887</v>
      </c>
      <c r="AM166" s="151">
        <f t="shared" si="138"/>
        <v>5734.1759870004498</v>
      </c>
      <c r="AN166" s="100">
        <f>IF(H166="nee",AM166,IF(G166="ja",AK166*(1+$C$16)+AL166*(1+$D$16)+AM166, AJ166*(1+$B$16)+AK166*(1+$C$16)+AL166*(1+$D$16)+AM166))</f>
        <v>5734.1759870004498</v>
      </c>
      <c r="AO166" s="100">
        <f>AN166+V166</f>
        <v>6614.5510105931498</v>
      </c>
      <c r="AP166" s="100">
        <f>IF(YEAR(D166)&lt;2014,$AO166*J166,0)</f>
        <v>0</v>
      </c>
      <c r="AQ166" s="100">
        <f>IF(YEAR(D166)&gt;2013,$AO166*J166,0)</f>
        <v>0</v>
      </c>
      <c r="AR166" s="100">
        <f>$AO166*K166</f>
        <v>0</v>
      </c>
      <c r="AS166" s="100">
        <f t="shared" si="139"/>
        <v>6614.5510105931498</v>
      </c>
    </row>
    <row r="167" spans="1:45" s="216" customFormat="1">
      <c r="A167" s="688" t="s">
        <v>640</v>
      </c>
      <c r="B167" s="689" t="s">
        <v>900</v>
      </c>
      <c r="C167" s="684">
        <v>-63985.963567920277</v>
      </c>
      <c r="D167" s="690">
        <v>41639</v>
      </c>
      <c r="E167" s="691">
        <v>41</v>
      </c>
      <c r="F167" s="282" t="s">
        <v>876</v>
      </c>
      <c r="G167" s="687" t="s">
        <v>662</v>
      </c>
      <c r="H167" s="1060" t="s">
        <v>662</v>
      </c>
      <c r="I167" s="137">
        <f t="shared" si="113"/>
        <v>30</v>
      </c>
      <c r="J167" s="223">
        <f t="shared" si="0"/>
        <v>0</v>
      </c>
      <c r="K167" s="223">
        <f t="shared" si="1"/>
        <v>0</v>
      </c>
      <c r="L167" s="223">
        <f t="shared" si="2"/>
        <v>1</v>
      </c>
      <c r="M167" s="445">
        <f t="shared" si="140"/>
        <v>1</v>
      </c>
      <c r="N167" s="445">
        <f t="shared" si="140"/>
        <v>1.028</v>
      </c>
      <c r="O167" s="445">
        <f t="shared" si="140"/>
        <v>1.0382800000000001</v>
      </c>
      <c r="P167" s="445">
        <f t="shared" si="140"/>
        <v>1.0465862400000001</v>
      </c>
      <c r="Q167" s="440">
        <f t="shared" si="124"/>
        <v>-639.85963567920282</v>
      </c>
      <c r="R167" s="134">
        <f t="shared" si="125"/>
        <v>-639.85963567920282</v>
      </c>
      <c r="S167" s="134">
        <f t="shared" si="126"/>
        <v>-657.77570547822052</v>
      </c>
      <c r="T167" s="134">
        <f t="shared" si="127"/>
        <v>-664.35346253300281</v>
      </c>
      <c r="U167" s="1069">
        <f t="shared" si="128"/>
        <v>-669.66829023326682</v>
      </c>
      <c r="V167" s="134">
        <f t="shared" ref="V167:V187" si="142">IF(H167="nee",U167,IF(G167="ja",S167*(1+$C$16)+T167*(1+$D$16)+U167,R167*(1+$B$16)+S167*(1+$C$16)+T167*(1+$D$16)+U167))</f>
        <v>-669.66829023326682</v>
      </c>
      <c r="W167" s="100">
        <f t="shared" si="141"/>
        <v>-177.73878768866743</v>
      </c>
      <c r="X167" s="100">
        <f t="shared" si="141"/>
        <v>-2132.865452264009</v>
      </c>
      <c r="Y167" s="100">
        <f t="shared" si="141"/>
        <v>-2132.865452264009</v>
      </c>
      <c r="Z167" s="151">
        <f t="shared" si="141"/>
        <v>-2132.865452264009</v>
      </c>
      <c r="AA167" s="448">
        <f t="shared" si="129"/>
        <v>-177.73878768866743</v>
      </c>
      <c r="AB167" s="448">
        <f t="shared" si="130"/>
        <v>-2192.5856849274014</v>
      </c>
      <c r="AC167" s="448">
        <f t="shared" si="131"/>
        <v>-2214.5115417766756</v>
      </c>
      <c r="AD167" s="448">
        <f t="shared" si="132"/>
        <v>-2232.2276341108891</v>
      </c>
      <c r="AE167" s="285"/>
      <c r="AF167" s="100">
        <f t="shared" si="133"/>
        <v>-63808.224780231612</v>
      </c>
      <c r="AG167" s="100">
        <f t="shared" si="134"/>
        <v>-63402.269389150693</v>
      </c>
      <c r="AH167" s="100">
        <f t="shared" si="135"/>
        <v>-61821.780541265529</v>
      </c>
      <c r="AI167" s="151">
        <f t="shared" si="136"/>
        <v>-60084.127151484769</v>
      </c>
      <c r="AJ167" s="100">
        <f t="shared" ref="AJ167:AJ187" si="143">AF167*$B$4+AA167</f>
        <v>-3878.615824942101</v>
      </c>
      <c r="AK167" s="100">
        <f t="shared" ref="AK167:AK187" si="144">AG167*$B$5+AB167</f>
        <v>-4475.0673829368261</v>
      </c>
      <c r="AL167" s="100">
        <f t="shared" si="137"/>
        <v>-4440.0956412622345</v>
      </c>
      <c r="AM167" s="151">
        <f t="shared" si="138"/>
        <v>-4395.2562115643404</v>
      </c>
      <c r="AN167" s="100">
        <f t="shared" ref="AN167:AN187" si="145">IF(H167="nee",AM167,IF(G167="ja",AK167*(1+$C$16)+AL167*(1+$D$16)+AM167, AJ167*(1+$B$16)+AK167*(1+$C$16)+AL167*(1+$D$16)+AM167))</f>
        <v>-4395.2562115643404</v>
      </c>
      <c r="AO167" s="100">
        <f t="shared" ref="AO167:AO187" si="146">AN167+V167</f>
        <v>-5064.9245017976073</v>
      </c>
      <c r="AP167" s="100">
        <f t="shared" ref="AP167:AP187" si="147">IF(YEAR(D167)&lt;2014,$AO167*J167,0)</f>
        <v>0</v>
      </c>
      <c r="AQ167" s="100">
        <f t="shared" ref="AQ167:AQ187" si="148">IF(YEAR(D167)&gt;2013,$AO167*J167,0)</f>
        <v>0</v>
      </c>
      <c r="AR167" s="100">
        <f t="shared" ref="AR167:AR187" si="149">$AO167*K167</f>
        <v>0</v>
      </c>
      <c r="AS167" s="100">
        <f t="shared" si="139"/>
        <v>-5064.9245017976073</v>
      </c>
    </row>
    <row r="168" spans="1:45" s="216" customFormat="1">
      <c r="A168" s="688" t="s">
        <v>640</v>
      </c>
      <c r="B168" s="689" t="s">
        <v>900</v>
      </c>
      <c r="C168" s="684">
        <v>324051.31996311998</v>
      </c>
      <c r="D168" s="690">
        <v>41821</v>
      </c>
      <c r="E168" s="691">
        <v>41</v>
      </c>
      <c r="F168" s="282" t="s">
        <v>876</v>
      </c>
      <c r="G168" s="687"/>
      <c r="H168" s="1060" t="s">
        <v>662</v>
      </c>
      <c r="I168" s="137">
        <f t="shared" si="113"/>
        <v>30</v>
      </c>
      <c r="J168" s="223">
        <f t="shared" si="0"/>
        <v>0</v>
      </c>
      <c r="K168" s="223">
        <f t="shared" si="1"/>
        <v>0</v>
      </c>
      <c r="L168" s="223">
        <f t="shared" si="2"/>
        <v>1</v>
      </c>
      <c r="M168" s="445">
        <f t="shared" si="140"/>
        <v>0</v>
      </c>
      <c r="N168" s="445">
        <f t="shared" si="140"/>
        <v>1</v>
      </c>
      <c r="O168" s="445">
        <f t="shared" si="140"/>
        <v>1.01</v>
      </c>
      <c r="P168" s="445">
        <f t="shared" si="140"/>
        <v>1.0180800000000001</v>
      </c>
      <c r="Q168" s="440">
        <f t="shared" si="124"/>
        <v>3240.5131996311998</v>
      </c>
      <c r="R168" s="134">
        <f t="shared" si="125"/>
        <v>0</v>
      </c>
      <c r="S168" s="134">
        <f t="shared" si="126"/>
        <v>3240.5131996311998</v>
      </c>
      <c r="T168" s="134">
        <f t="shared" si="127"/>
        <v>3272.9183316275116</v>
      </c>
      <c r="U168" s="1069">
        <f t="shared" si="128"/>
        <v>3299.1016782805323</v>
      </c>
      <c r="V168" s="134">
        <f t="shared" si="142"/>
        <v>3299.1016782805323</v>
      </c>
      <c r="W168" s="100">
        <f t="shared" si="141"/>
        <v>0</v>
      </c>
      <c r="X168" s="100">
        <f t="shared" si="141"/>
        <v>5400.8553327186664</v>
      </c>
      <c r="Y168" s="100">
        <f t="shared" si="141"/>
        <v>10801.710665437333</v>
      </c>
      <c r="Z168" s="151">
        <f t="shared" si="141"/>
        <v>10801.710665437333</v>
      </c>
      <c r="AA168" s="448">
        <f t="shared" si="129"/>
        <v>0</v>
      </c>
      <c r="AB168" s="448">
        <f t="shared" si="130"/>
        <v>5400.8553327186664</v>
      </c>
      <c r="AC168" s="448">
        <f t="shared" si="131"/>
        <v>10909.727772091706</v>
      </c>
      <c r="AD168" s="448">
        <f t="shared" si="132"/>
        <v>10997.005594268441</v>
      </c>
      <c r="AE168" s="285"/>
      <c r="AF168" s="100">
        <f t="shared" si="133"/>
        <v>0</v>
      </c>
      <c r="AG168" s="100">
        <f t="shared" si="134"/>
        <v>318650.46463040134</v>
      </c>
      <c r="AH168" s="100">
        <f t="shared" si="135"/>
        <v>310927.24150461366</v>
      </c>
      <c r="AI168" s="151">
        <f t="shared" si="136"/>
        <v>302417.65384238213</v>
      </c>
      <c r="AJ168" s="100">
        <f t="shared" si="143"/>
        <v>0</v>
      </c>
      <c r="AK168" s="100">
        <f t="shared" si="144"/>
        <v>16872.272059413113</v>
      </c>
      <c r="AL168" s="100">
        <f t="shared" si="137"/>
        <v>22103.1084662578</v>
      </c>
      <c r="AM168" s="151">
        <f t="shared" si="138"/>
        <v>21884.041132594197</v>
      </c>
      <c r="AN168" s="100">
        <f t="shared" si="145"/>
        <v>21884.041132594197</v>
      </c>
      <c r="AO168" s="100">
        <f t="shared" si="146"/>
        <v>25183.142810874728</v>
      </c>
      <c r="AP168" s="100">
        <f t="shared" si="147"/>
        <v>0</v>
      </c>
      <c r="AQ168" s="100">
        <f t="shared" si="148"/>
        <v>0</v>
      </c>
      <c r="AR168" s="100">
        <f t="shared" si="149"/>
        <v>0</v>
      </c>
      <c r="AS168" s="100">
        <f t="shared" si="139"/>
        <v>25183.142810874728</v>
      </c>
    </row>
    <row r="169" spans="1:45" s="216" customFormat="1">
      <c r="A169" s="682" t="s">
        <v>640</v>
      </c>
      <c r="B169" s="683" t="s">
        <v>1138</v>
      </c>
      <c r="C169" s="684">
        <v>33230.424147999998</v>
      </c>
      <c r="D169" s="685">
        <v>42004</v>
      </c>
      <c r="E169" s="691">
        <v>41</v>
      </c>
      <c r="F169" s="282" t="s">
        <v>876</v>
      </c>
      <c r="G169" s="687"/>
      <c r="H169" s="1310" t="s">
        <v>638</v>
      </c>
      <c r="I169" s="137">
        <f t="shared" si="113"/>
        <v>30</v>
      </c>
      <c r="J169" s="223">
        <f t="shared" si="0"/>
        <v>0</v>
      </c>
      <c r="K169" s="223">
        <f t="shared" si="1"/>
        <v>0</v>
      </c>
      <c r="L169" s="223">
        <f t="shared" si="2"/>
        <v>1</v>
      </c>
      <c r="M169" s="445">
        <f t="shared" si="140"/>
        <v>0</v>
      </c>
      <c r="N169" s="445">
        <f t="shared" si="140"/>
        <v>1</v>
      </c>
      <c r="O169" s="445">
        <f t="shared" si="140"/>
        <v>1.01</v>
      </c>
      <c r="P169" s="445">
        <f t="shared" si="140"/>
        <v>1.0180800000000001</v>
      </c>
      <c r="Q169" s="440">
        <f t="shared" si="124"/>
        <v>332.30424147999997</v>
      </c>
      <c r="R169" s="134">
        <f t="shared" si="125"/>
        <v>0</v>
      </c>
      <c r="S169" s="134">
        <f t="shared" si="126"/>
        <v>332.30424147999997</v>
      </c>
      <c r="T169" s="134">
        <f t="shared" si="127"/>
        <v>335.62728389479997</v>
      </c>
      <c r="U169" s="1069">
        <f t="shared" si="128"/>
        <v>338.31230216595839</v>
      </c>
      <c r="V169" s="134">
        <f t="shared" si="142"/>
        <v>1046.7849450013177</v>
      </c>
      <c r="W169" s="100">
        <f t="shared" si="141"/>
        <v>0</v>
      </c>
      <c r="X169" s="100">
        <f t="shared" si="141"/>
        <v>92.306733744444443</v>
      </c>
      <c r="Y169" s="100">
        <f t="shared" si="141"/>
        <v>1107.6808049333333</v>
      </c>
      <c r="Z169" s="151">
        <f t="shared" si="141"/>
        <v>1107.6808049333333</v>
      </c>
      <c r="AA169" s="448">
        <f t="shared" si="129"/>
        <v>0</v>
      </c>
      <c r="AB169" s="448">
        <f t="shared" si="130"/>
        <v>92.306733744444443</v>
      </c>
      <c r="AC169" s="448">
        <f t="shared" si="131"/>
        <v>1118.7576129826666</v>
      </c>
      <c r="AD169" s="448">
        <f t="shared" si="132"/>
        <v>1127.707673886528</v>
      </c>
      <c r="AE169" s="285"/>
      <c r="AF169" s="100">
        <f t="shared" si="133"/>
        <v>0</v>
      </c>
      <c r="AG169" s="100">
        <f t="shared" si="134"/>
        <v>33138.117414255554</v>
      </c>
      <c r="AH169" s="100">
        <f t="shared" si="135"/>
        <v>32350.74097541544</v>
      </c>
      <c r="AI169" s="151">
        <f t="shared" si="136"/>
        <v>31481.839229332236</v>
      </c>
      <c r="AJ169" s="100">
        <f t="shared" si="143"/>
        <v>0</v>
      </c>
      <c r="AK169" s="100">
        <f t="shared" si="144"/>
        <v>1285.2789606576443</v>
      </c>
      <c r="AL169" s="100">
        <f t="shared" si="137"/>
        <v>2283.3842880976226</v>
      </c>
      <c r="AM169" s="151">
        <f t="shared" si="138"/>
        <v>2261.0538861424884</v>
      </c>
      <c r="AN169" s="100">
        <f t="shared" si="145"/>
        <v>6025.931269611322</v>
      </c>
      <c r="AO169" s="100">
        <f t="shared" si="146"/>
        <v>7072.7162146126393</v>
      </c>
      <c r="AP169" s="100">
        <f t="shared" si="147"/>
        <v>0</v>
      </c>
      <c r="AQ169" s="100">
        <f t="shared" si="148"/>
        <v>0</v>
      </c>
      <c r="AR169" s="100">
        <f t="shared" si="149"/>
        <v>0</v>
      </c>
      <c r="AS169" s="100">
        <f t="shared" si="139"/>
        <v>7072.7162146126393</v>
      </c>
    </row>
    <row r="170" spans="1:45" s="216" customFormat="1">
      <c r="A170" s="682" t="s">
        <v>640</v>
      </c>
      <c r="B170" s="683" t="s">
        <v>1139</v>
      </c>
      <c r="C170" s="684">
        <v>48816.4807162</v>
      </c>
      <c r="D170" s="685">
        <v>42186</v>
      </c>
      <c r="E170" s="691">
        <v>41</v>
      </c>
      <c r="F170" s="282" t="s">
        <v>876</v>
      </c>
      <c r="G170" s="687"/>
      <c r="H170" s="1310" t="s">
        <v>638</v>
      </c>
      <c r="I170" s="137">
        <f t="shared" si="113"/>
        <v>30</v>
      </c>
      <c r="J170" s="223">
        <f t="shared" si="0"/>
        <v>0</v>
      </c>
      <c r="K170" s="223">
        <f t="shared" si="1"/>
        <v>0</v>
      </c>
      <c r="L170" s="223">
        <f t="shared" si="2"/>
        <v>1</v>
      </c>
      <c r="M170" s="445">
        <f t="shared" si="140"/>
        <v>0</v>
      </c>
      <c r="N170" s="445">
        <f t="shared" si="140"/>
        <v>0</v>
      </c>
      <c r="O170" s="445">
        <f t="shared" si="140"/>
        <v>1</v>
      </c>
      <c r="P170" s="445">
        <f t="shared" si="140"/>
        <v>1.008</v>
      </c>
      <c r="Q170" s="440">
        <f t="shared" si="124"/>
        <v>488.16480716199999</v>
      </c>
      <c r="R170" s="134">
        <f t="shared" si="125"/>
        <v>0</v>
      </c>
      <c r="S170" s="134">
        <f t="shared" si="126"/>
        <v>0</v>
      </c>
      <c r="T170" s="134">
        <f t="shared" si="127"/>
        <v>488.16480716199999</v>
      </c>
      <c r="U170" s="1069">
        <f t="shared" si="128"/>
        <v>492.07012561929599</v>
      </c>
      <c r="V170" s="134">
        <f t="shared" si="142"/>
        <v>999.76152506777578</v>
      </c>
      <c r="W170" s="100">
        <f t="shared" si="141"/>
        <v>0</v>
      </c>
      <c r="X170" s="100">
        <f t="shared" si="141"/>
        <v>0</v>
      </c>
      <c r="Y170" s="100">
        <f t="shared" si="141"/>
        <v>813.60801193666668</v>
      </c>
      <c r="Z170" s="151">
        <f t="shared" si="141"/>
        <v>1627.2160238733334</v>
      </c>
      <c r="AA170" s="448">
        <f t="shared" si="129"/>
        <v>0</v>
      </c>
      <c r="AB170" s="448">
        <f t="shared" si="130"/>
        <v>0</v>
      </c>
      <c r="AC170" s="448">
        <f t="shared" si="131"/>
        <v>813.60801193666668</v>
      </c>
      <c r="AD170" s="448">
        <f t="shared" si="132"/>
        <v>1640.23375206432</v>
      </c>
      <c r="AE170" s="285"/>
      <c r="AF170" s="100">
        <f t="shared" si="133"/>
        <v>0</v>
      </c>
      <c r="AG170" s="100">
        <f t="shared" si="134"/>
        <v>0</v>
      </c>
      <c r="AH170" s="100">
        <f t="shared" si="135"/>
        <v>48002.872704263333</v>
      </c>
      <c r="AI170" s="151">
        <f t="shared" si="136"/>
        <v>46746.661933833122</v>
      </c>
      <c r="AJ170" s="100">
        <f t="shared" si="143"/>
        <v>0</v>
      </c>
      <c r="AK170" s="100">
        <f t="shared" si="144"/>
        <v>0</v>
      </c>
      <c r="AL170" s="100">
        <f t="shared" si="137"/>
        <v>2541.7114292901465</v>
      </c>
      <c r="AM170" s="151">
        <f t="shared" si="138"/>
        <v>3323.1135816823125</v>
      </c>
      <c r="AN170" s="100">
        <f t="shared" si="145"/>
        <v>5966.4934681440645</v>
      </c>
      <c r="AO170" s="100">
        <f t="shared" si="146"/>
        <v>6966.25499321184</v>
      </c>
      <c r="AP170" s="100">
        <f t="shared" si="147"/>
        <v>0</v>
      </c>
      <c r="AQ170" s="100">
        <f t="shared" si="148"/>
        <v>0</v>
      </c>
      <c r="AR170" s="100">
        <f t="shared" si="149"/>
        <v>0</v>
      </c>
      <c r="AS170" s="100">
        <f t="shared" si="139"/>
        <v>6966.25499321184</v>
      </c>
    </row>
    <row r="171" spans="1:45" s="216" customFormat="1">
      <c r="A171" s="1365"/>
      <c r="B171" s="1379"/>
      <c r="C171" s="684">
        <v>98200.942397564999</v>
      </c>
      <c r="D171" s="690">
        <v>41456</v>
      </c>
      <c r="E171" s="691">
        <v>21</v>
      </c>
      <c r="F171" s="282" t="s">
        <v>876</v>
      </c>
      <c r="G171" s="687" t="s">
        <v>662</v>
      </c>
      <c r="H171" s="1060" t="s">
        <v>662</v>
      </c>
      <c r="I171" s="137">
        <f t="shared" si="113"/>
        <v>55</v>
      </c>
      <c r="J171" s="223">
        <f t="shared" si="0"/>
        <v>0.96699999999999997</v>
      </c>
      <c r="K171" s="223">
        <f t="shared" si="1"/>
        <v>3.3000000000000002E-2</v>
      </c>
      <c r="L171" s="223">
        <f t="shared" si="2"/>
        <v>0</v>
      </c>
      <c r="M171" s="445">
        <f t="shared" si="140"/>
        <v>1</v>
      </c>
      <c r="N171" s="445">
        <f t="shared" si="140"/>
        <v>1.028</v>
      </c>
      <c r="O171" s="445">
        <f t="shared" si="140"/>
        <v>1.0382800000000001</v>
      </c>
      <c r="P171" s="445">
        <f t="shared" si="140"/>
        <v>1.0465862400000001</v>
      </c>
      <c r="Q171" s="440">
        <f t="shared" si="124"/>
        <v>982.00942397564995</v>
      </c>
      <c r="R171" s="134">
        <f t="shared" si="125"/>
        <v>982.00942397564995</v>
      </c>
      <c r="S171" s="134">
        <f t="shared" si="126"/>
        <v>1009.5056878469682</v>
      </c>
      <c r="T171" s="134">
        <f t="shared" si="127"/>
        <v>1019.6007447254379</v>
      </c>
      <c r="U171" s="1069">
        <f t="shared" si="128"/>
        <v>1027.7575506832413</v>
      </c>
      <c r="V171" s="134">
        <f t="shared" si="142"/>
        <v>1027.7575506832413</v>
      </c>
      <c r="W171" s="100">
        <f t="shared" si="141"/>
        <v>892.73583997786363</v>
      </c>
      <c r="X171" s="100">
        <f t="shared" si="141"/>
        <v>1785.4716799557273</v>
      </c>
      <c r="Y171" s="100">
        <f t="shared" si="141"/>
        <v>1785.4716799557273</v>
      </c>
      <c r="Z171" s="151">
        <f t="shared" si="141"/>
        <v>1785.4716799557273</v>
      </c>
      <c r="AA171" s="448">
        <f t="shared" si="129"/>
        <v>892.73583997786363</v>
      </c>
      <c r="AB171" s="448">
        <f t="shared" si="130"/>
        <v>1835.4648869944876</v>
      </c>
      <c r="AC171" s="448">
        <f t="shared" si="131"/>
        <v>1853.8195358644327</v>
      </c>
      <c r="AD171" s="448">
        <f t="shared" si="132"/>
        <v>1868.6500921513482</v>
      </c>
      <c r="AE171" s="285"/>
      <c r="AF171" s="100">
        <f t="shared" si="133"/>
        <v>97308.206557587138</v>
      </c>
      <c r="AG171" s="100">
        <f t="shared" si="134"/>
        <v>98197.371454205088</v>
      </c>
      <c r="AH171" s="100">
        <f t="shared" si="135"/>
        <v>97325.525632882709</v>
      </c>
      <c r="AI171" s="151">
        <f t="shared" si="136"/>
        <v>96235.479745794422</v>
      </c>
      <c r="AJ171" s="100">
        <f t="shared" si="143"/>
        <v>6536.6118203179176</v>
      </c>
      <c r="AK171" s="100">
        <f t="shared" si="144"/>
        <v>5370.57025934587</v>
      </c>
      <c r="AL171" s="100">
        <f t="shared" si="137"/>
        <v>5357.5384586482096</v>
      </c>
      <c r="AM171" s="151">
        <f t="shared" si="138"/>
        <v>5333.1273629999469</v>
      </c>
      <c r="AN171" s="100">
        <f t="shared" si="145"/>
        <v>5333.1273629999469</v>
      </c>
      <c r="AO171" s="100">
        <f t="shared" si="146"/>
        <v>6360.8849136831886</v>
      </c>
      <c r="AP171" s="100">
        <f t="shared" si="147"/>
        <v>6150.9757115316434</v>
      </c>
      <c r="AQ171" s="100">
        <f t="shared" si="148"/>
        <v>0</v>
      </c>
      <c r="AR171" s="100">
        <f t="shared" si="149"/>
        <v>209.90920215154523</v>
      </c>
      <c r="AS171" s="100">
        <f t="shared" si="139"/>
        <v>0</v>
      </c>
    </row>
    <row r="172" spans="1:45" s="216" customFormat="1">
      <c r="A172" s="1365"/>
      <c r="B172" s="1379"/>
      <c r="C172" s="684">
        <v>109057.6056242256</v>
      </c>
      <c r="D172" s="690">
        <v>41639</v>
      </c>
      <c r="E172" s="691">
        <v>21</v>
      </c>
      <c r="F172" s="282" t="s">
        <v>876</v>
      </c>
      <c r="G172" s="687" t="s">
        <v>662</v>
      </c>
      <c r="H172" s="1060" t="s">
        <v>662</v>
      </c>
      <c r="I172" s="137">
        <f t="shared" si="113"/>
        <v>55</v>
      </c>
      <c r="J172" s="223">
        <f t="shared" si="0"/>
        <v>0.96699999999999997</v>
      </c>
      <c r="K172" s="223">
        <f t="shared" si="1"/>
        <v>3.3000000000000002E-2</v>
      </c>
      <c r="L172" s="223">
        <f t="shared" si="2"/>
        <v>0</v>
      </c>
      <c r="M172" s="445">
        <f t="shared" si="140"/>
        <v>1</v>
      </c>
      <c r="N172" s="445">
        <f t="shared" si="140"/>
        <v>1.028</v>
      </c>
      <c r="O172" s="445">
        <f t="shared" si="140"/>
        <v>1.0382800000000001</v>
      </c>
      <c r="P172" s="445">
        <f t="shared" si="140"/>
        <v>1.0465862400000001</v>
      </c>
      <c r="Q172" s="440">
        <f t="shared" si="124"/>
        <v>1090.5760562422561</v>
      </c>
      <c r="R172" s="134">
        <f t="shared" si="125"/>
        <v>1090.5760562422561</v>
      </c>
      <c r="S172" s="134">
        <f t="shared" si="126"/>
        <v>1121.1121858170393</v>
      </c>
      <c r="T172" s="134">
        <f t="shared" si="127"/>
        <v>1132.3233076752097</v>
      </c>
      <c r="U172" s="1069">
        <f t="shared" si="128"/>
        <v>1141.3818941366114</v>
      </c>
      <c r="V172" s="134">
        <f t="shared" si="142"/>
        <v>1141.3818941366114</v>
      </c>
      <c r="W172" s="100">
        <f t="shared" si="141"/>
        <v>165.23879640034181</v>
      </c>
      <c r="X172" s="100">
        <f t="shared" si="141"/>
        <v>1982.8655568041017</v>
      </c>
      <c r="Y172" s="100">
        <f t="shared" si="141"/>
        <v>1982.8655568041017</v>
      </c>
      <c r="Z172" s="151">
        <f t="shared" si="141"/>
        <v>1982.8655568041017</v>
      </c>
      <c r="AA172" s="448">
        <f t="shared" si="129"/>
        <v>165.23879640034181</v>
      </c>
      <c r="AB172" s="448">
        <f t="shared" si="130"/>
        <v>2038.3857923946166</v>
      </c>
      <c r="AC172" s="448">
        <f t="shared" si="131"/>
        <v>2058.769650318563</v>
      </c>
      <c r="AD172" s="448">
        <f t="shared" si="132"/>
        <v>2075.2398075211113</v>
      </c>
      <c r="AE172" s="285"/>
      <c r="AF172" s="100">
        <f t="shared" si="133"/>
        <v>108892.36682782526</v>
      </c>
      <c r="AG172" s="100">
        <f t="shared" si="134"/>
        <v>109902.96730660975</v>
      </c>
      <c r="AH172" s="100">
        <f t="shared" si="135"/>
        <v>108943.22732935728</v>
      </c>
      <c r="AI172" s="151">
        <f t="shared" si="136"/>
        <v>107739.53334047103</v>
      </c>
      <c r="AJ172" s="100">
        <f t="shared" si="143"/>
        <v>6480.9960724142074</v>
      </c>
      <c r="AK172" s="100">
        <f t="shared" si="144"/>
        <v>5994.8926154325673</v>
      </c>
      <c r="AL172" s="100">
        <f t="shared" si="137"/>
        <v>5980.7258341754241</v>
      </c>
      <c r="AM172" s="151">
        <f t="shared" si="138"/>
        <v>5953.8630077780681</v>
      </c>
      <c r="AN172" s="100">
        <f t="shared" si="145"/>
        <v>5953.8630077780681</v>
      </c>
      <c r="AO172" s="100">
        <f t="shared" si="146"/>
        <v>7095.2449019146798</v>
      </c>
      <c r="AP172" s="100">
        <f t="shared" si="147"/>
        <v>6861.1018201514953</v>
      </c>
      <c r="AQ172" s="100">
        <f t="shared" si="148"/>
        <v>0</v>
      </c>
      <c r="AR172" s="100">
        <f t="shared" si="149"/>
        <v>234.14308176318445</v>
      </c>
      <c r="AS172" s="100">
        <f t="shared" si="139"/>
        <v>0</v>
      </c>
    </row>
    <row r="173" spans="1:45" s="216" customFormat="1">
      <c r="A173" s="1365"/>
      <c r="B173" s="1379"/>
      <c r="C173" s="684">
        <v>38843.204269040005</v>
      </c>
      <c r="D173" s="690">
        <v>41821</v>
      </c>
      <c r="E173" s="691">
        <v>21</v>
      </c>
      <c r="F173" s="282" t="s">
        <v>876</v>
      </c>
      <c r="G173" s="687"/>
      <c r="H173" s="1060" t="s">
        <v>662</v>
      </c>
      <c r="I173" s="137">
        <f t="shared" si="113"/>
        <v>55</v>
      </c>
      <c r="J173" s="223">
        <f t="shared" si="0"/>
        <v>0.96699999999999997</v>
      </c>
      <c r="K173" s="223">
        <f t="shared" si="1"/>
        <v>3.3000000000000002E-2</v>
      </c>
      <c r="L173" s="223">
        <f t="shared" si="2"/>
        <v>0</v>
      </c>
      <c r="M173" s="445">
        <f t="shared" si="140"/>
        <v>0</v>
      </c>
      <c r="N173" s="445">
        <f t="shared" si="140"/>
        <v>1</v>
      </c>
      <c r="O173" s="445">
        <f t="shared" si="140"/>
        <v>1.01</v>
      </c>
      <c r="P173" s="445">
        <f t="shared" si="140"/>
        <v>1.0180800000000001</v>
      </c>
      <c r="Q173" s="440">
        <f t="shared" si="124"/>
        <v>388.43204269040007</v>
      </c>
      <c r="R173" s="134">
        <f t="shared" si="125"/>
        <v>0</v>
      </c>
      <c r="S173" s="134">
        <f t="shared" si="126"/>
        <v>388.43204269040007</v>
      </c>
      <c r="T173" s="134">
        <f t="shared" si="127"/>
        <v>392.31636311730409</v>
      </c>
      <c r="U173" s="1069">
        <f t="shared" si="128"/>
        <v>395.45489402224251</v>
      </c>
      <c r="V173" s="134">
        <f t="shared" si="142"/>
        <v>395.45489402224251</v>
      </c>
      <c r="W173" s="100">
        <f t="shared" si="141"/>
        <v>0</v>
      </c>
      <c r="X173" s="100">
        <f t="shared" si="141"/>
        <v>353.12003880945457</v>
      </c>
      <c r="Y173" s="100">
        <f t="shared" si="141"/>
        <v>706.24007761890914</v>
      </c>
      <c r="Z173" s="151">
        <f t="shared" si="141"/>
        <v>706.24007761890914</v>
      </c>
      <c r="AA173" s="448">
        <f t="shared" si="129"/>
        <v>0</v>
      </c>
      <c r="AB173" s="448">
        <f t="shared" si="130"/>
        <v>353.12003880945457</v>
      </c>
      <c r="AC173" s="448">
        <f t="shared" si="131"/>
        <v>713.30247839509821</v>
      </c>
      <c r="AD173" s="448">
        <f t="shared" si="132"/>
        <v>719.00889822225906</v>
      </c>
      <c r="AE173" s="285"/>
      <c r="AF173" s="100">
        <f t="shared" si="133"/>
        <v>0</v>
      </c>
      <c r="AG173" s="100">
        <f t="shared" si="134"/>
        <v>38490.084230230554</v>
      </c>
      <c r="AH173" s="100">
        <f t="shared" si="135"/>
        <v>38161.682594137761</v>
      </c>
      <c r="AI173" s="151">
        <f t="shared" si="136"/>
        <v>37747.967156668601</v>
      </c>
      <c r="AJ173" s="100">
        <f t="shared" si="143"/>
        <v>0</v>
      </c>
      <c r="AK173" s="100">
        <f t="shared" si="144"/>
        <v>1738.7630710977544</v>
      </c>
      <c r="AL173" s="100">
        <f t="shared" si="137"/>
        <v>2087.1230517840577</v>
      </c>
      <c r="AM173" s="151">
        <f t="shared" si="138"/>
        <v>2077.9357158623284</v>
      </c>
      <c r="AN173" s="100">
        <f t="shared" si="145"/>
        <v>2077.9357158623284</v>
      </c>
      <c r="AO173" s="100">
        <f t="shared" si="146"/>
        <v>2473.3906098845709</v>
      </c>
      <c r="AP173" s="100">
        <f t="shared" si="147"/>
        <v>0</v>
      </c>
      <c r="AQ173" s="100">
        <f t="shared" si="148"/>
        <v>2391.76871975838</v>
      </c>
      <c r="AR173" s="100">
        <f t="shared" si="149"/>
        <v>81.621890126190848</v>
      </c>
      <c r="AS173" s="100">
        <f t="shared" si="139"/>
        <v>0</v>
      </c>
    </row>
    <row r="174" spans="1:45" s="216" customFormat="1">
      <c r="A174" s="1365"/>
      <c r="B174" s="1379"/>
      <c r="C174" s="684">
        <v>-13626.555334454999</v>
      </c>
      <c r="D174" s="690">
        <v>41456</v>
      </c>
      <c r="E174" s="691">
        <v>21</v>
      </c>
      <c r="F174" s="282" t="s">
        <v>876</v>
      </c>
      <c r="G174" s="687" t="s">
        <v>638</v>
      </c>
      <c r="H174" s="1060" t="s">
        <v>662</v>
      </c>
      <c r="I174" s="137">
        <f t="shared" si="113"/>
        <v>55</v>
      </c>
      <c r="J174" s="223">
        <f t="shared" si="0"/>
        <v>0.96699999999999997</v>
      </c>
      <c r="K174" s="223">
        <f t="shared" si="1"/>
        <v>3.3000000000000002E-2</v>
      </c>
      <c r="L174" s="223">
        <f t="shared" si="2"/>
        <v>0</v>
      </c>
      <c r="M174" s="445">
        <f t="shared" si="140"/>
        <v>1</v>
      </c>
      <c r="N174" s="445">
        <f t="shared" si="140"/>
        <v>1.028</v>
      </c>
      <c r="O174" s="445">
        <f t="shared" si="140"/>
        <v>1.0382800000000001</v>
      </c>
      <c r="P174" s="445">
        <f t="shared" si="140"/>
        <v>1.0465862400000001</v>
      </c>
      <c r="Q174" s="440">
        <f t="shared" si="124"/>
        <v>-136.26555334455</v>
      </c>
      <c r="R174" s="134">
        <f t="shared" si="125"/>
        <v>-136.26555334455</v>
      </c>
      <c r="S174" s="134">
        <f t="shared" si="126"/>
        <v>-140.08098883819741</v>
      </c>
      <c r="T174" s="134">
        <f t="shared" si="127"/>
        <v>-141.4817987265794</v>
      </c>
      <c r="U174" s="1069">
        <f t="shared" si="128"/>
        <v>-142.61365311639202</v>
      </c>
      <c r="V174" s="134">
        <f t="shared" si="142"/>
        <v>-142.61365311639202</v>
      </c>
      <c r="W174" s="100">
        <f t="shared" si="141"/>
        <v>-123.87777576777272</v>
      </c>
      <c r="X174" s="100">
        <f t="shared" si="141"/>
        <v>-247.75555153554544</v>
      </c>
      <c r="Y174" s="100">
        <f t="shared" si="141"/>
        <v>-247.75555153554544</v>
      </c>
      <c r="Z174" s="151">
        <f t="shared" si="141"/>
        <v>-247.75555153554544</v>
      </c>
      <c r="AA174" s="448">
        <f t="shared" si="129"/>
        <v>-123.87777576777272</v>
      </c>
      <c r="AB174" s="448">
        <f t="shared" si="130"/>
        <v>-254.69270697854071</v>
      </c>
      <c r="AC174" s="448">
        <f t="shared" si="131"/>
        <v>-257.23963404832614</v>
      </c>
      <c r="AD174" s="448">
        <f t="shared" si="132"/>
        <v>-259.29755112071274</v>
      </c>
      <c r="AE174" s="285"/>
      <c r="AF174" s="100">
        <f t="shared" si="133"/>
        <v>-13502.677558687226</v>
      </c>
      <c r="AG174" s="100">
        <f t="shared" si="134"/>
        <v>-13626.059823351927</v>
      </c>
      <c r="AH174" s="100">
        <f t="shared" si="135"/>
        <v>-13505.080787537119</v>
      </c>
      <c r="AI174" s="151">
        <f t="shared" si="136"/>
        <v>-13353.823882716702</v>
      </c>
      <c r="AJ174" s="100">
        <f t="shared" si="143"/>
        <v>-907.03307417163194</v>
      </c>
      <c r="AK174" s="100">
        <f t="shared" si="144"/>
        <v>-745.23086061921003</v>
      </c>
      <c r="AL174" s="100">
        <f t="shared" si="137"/>
        <v>-743.42254239966246</v>
      </c>
      <c r="AM174" s="151">
        <f t="shared" si="138"/>
        <v>-740.03521089851392</v>
      </c>
      <c r="AN174" s="100">
        <f t="shared" si="145"/>
        <v>-740.03521089851392</v>
      </c>
      <c r="AO174" s="100">
        <f t="shared" si="146"/>
        <v>-882.64886401490594</v>
      </c>
      <c r="AP174" s="100">
        <f t="shared" si="147"/>
        <v>-853.52145150241404</v>
      </c>
      <c r="AQ174" s="100">
        <f t="shared" si="148"/>
        <v>0</v>
      </c>
      <c r="AR174" s="100">
        <f t="shared" si="149"/>
        <v>-29.127412512491897</v>
      </c>
      <c r="AS174" s="100">
        <f t="shared" si="139"/>
        <v>0</v>
      </c>
    </row>
    <row r="175" spans="1:45" s="216" customFormat="1">
      <c r="A175" s="1365"/>
      <c r="B175" s="1379"/>
      <c r="C175" s="684">
        <v>-15832.96500894</v>
      </c>
      <c r="D175" s="690">
        <v>41456</v>
      </c>
      <c r="E175" s="691">
        <v>15</v>
      </c>
      <c r="F175" s="282" t="s">
        <v>876</v>
      </c>
      <c r="G175" s="687" t="s">
        <v>638</v>
      </c>
      <c r="H175" s="1060" t="s">
        <v>662</v>
      </c>
      <c r="I175" s="137">
        <f t="shared" si="113"/>
        <v>30</v>
      </c>
      <c r="J175" s="223">
        <f t="shared" ref="J175:J187" si="150">VLOOKUP($E175,$B$20:$G$54,3,FALSE)</f>
        <v>0.96699999999999997</v>
      </c>
      <c r="K175" s="223">
        <f t="shared" ref="K175:K187" si="151">VLOOKUP($E175,$B$20:$G$54,4,FALSE)</f>
        <v>3.3000000000000002E-2</v>
      </c>
      <c r="L175" s="223">
        <f t="shared" ref="L175:L187" si="152">VLOOKUP($E175,$B$20:$G$54,5,FALSE)</f>
        <v>0</v>
      </c>
      <c r="M175" s="445">
        <f t="shared" si="140"/>
        <v>1</v>
      </c>
      <c r="N175" s="445">
        <f t="shared" si="140"/>
        <v>1.028</v>
      </c>
      <c r="O175" s="445">
        <f t="shared" si="140"/>
        <v>1.0382800000000001</v>
      </c>
      <c r="P175" s="445">
        <f t="shared" si="140"/>
        <v>1.0465862400000001</v>
      </c>
      <c r="Q175" s="440">
        <f t="shared" si="124"/>
        <v>-158.32965008940002</v>
      </c>
      <c r="R175" s="134">
        <f t="shared" si="125"/>
        <v>-158.32965008940002</v>
      </c>
      <c r="S175" s="134">
        <f t="shared" si="126"/>
        <v>-162.76288029190323</v>
      </c>
      <c r="T175" s="134">
        <f t="shared" si="127"/>
        <v>-164.39050909482228</v>
      </c>
      <c r="U175" s="1069">
        <f t="shared" si="128"/>
        <v>-165.70563316758086</v>
      </c>
      <c r="V175" s="134">
        <f t="shared" si="142"/>
        <v>-165.70563316758086</v>
      </c>
      <c r="W175" s="100">
        <f t="shared" si="141"/>
        <v>-263.882750149</v>
      </c>
      <c r="X175" s="100">
        <f t="shared" si="141"/>
        <v>-527.76550029800001</v>
      </c>
      <c r="Y175" s="100">
        <f t="shared" si="141"/>
        <v>-527.76550029800001</v>
      </c>
      <c r="Z175" s="151">
        <f t="shared" si="141"/>
        <v>-527.76550029800001</v>
      </c>
      <c r="AA175" s="448">
        <f t="shared" si="129"/>
        <v>-263.882750149</v>
      </c>
      <c r="AB175" s="448">
        <f t="shared" si="130"/>
        <v>-542.54293430634402</v>
      </c>
      <c r="AC175" s="448">
        <f t="shared" si="131"/>
        <v>-547.96836364940748</v>
      </c>
      <c r="AD175" s="448">
        <f t="shared" si="132"/>
        <v>-552.35211055860282</v>
      </c>
      <c r="AE175" s="285"/>
      <c r="AF175" s="100">
        <f t="shared" si="133"/>
        <v>-15569.082258791001</v>
      </c>
      <c r="AG175" s="100">
        <f t="shared" si="134"/>
        <v>-15462.473627730806</v>
      </c>
      <c r="AH175" s="100">
        <f t="shared" si="135"/>
        <v>-15069.130000358706</v>
      </c>
      <c r="AI175" s="151">
        <f t="shared" si="136"/>
        <v>-14637.330929802973</v>
      </c>
      <c r="AJ175" s="100">
        <f t="shared" si="143"/>
        <v>-1166.8895211588781</v>
      </c>
      <c r="AK175" s="100">
        <f t="shared" si="144"/>
        <v>-1099.1919849046531</v>
      </c>
      <c r="AL175" s="100">
        <f t="shared" si="137"/>
        <v>-1090.4570436623208</v>
      </c>
      <c r="AM175" s="151">
        <f t="shared" si="138"/>
        <v>-1079.2960240315097</v>
      </c>
      <c r="AN175" s="100">
        <f t="shared" si="145"/>
        <v>-1079.2960240315097</v>
      </c>
      <c r="AO175" s="100">
        <f t="shared" si="146"/>
        <v>-1245.0016571990905</v>
      </c>
      <c r="AP175" s="100">
        <f t="shared" si="147"/>
        <v>-1203.9166025115205</v>
      </c>
      <c r="AQ175" s="100">
        <f t="shared" si="148"/>
        <v>0</v>
      </c>
      <c r="AR175" s="100">
        <f t="shared" si="149"/>
        <v>-41.085054687569986</v>
      </c>
      <c r="AS175" s="100">
        <f t="shared" si="139"/>
        <v>0</v>
      </c>
    </row>
    <row r="176" spans="1:45" s="216" customFormat="1">
      <c r="A176" s="1365"/>
      <c r="B176" s="1379"/>
      <c r="C176" s="684">
        <v>-3064.4448404400005</v>
      </c>
      <c r="D176" s="690">
        <v>41456</v>
      </c>
      <c r="E176" s="691">
        <v>2</v>
      </c>
      <c r="F176" s="282" t="s">
        <v>876</v>
      </c>
      <c r="G176" s="687" t="s">
        <v>638</v>
      </c>
      <c r="H176" s="1060" t="s">
        <v>662</v>
      </c>
      <c r="I176" s="137">
        <f t="shared" si="113"/>
        <v>30</v>
      </c>
      <c r="J176" s="223">
        <f t="shared" si="150"/>
        <v>0.96699999999999997</v>
      </c>
      <c r="K176" s="223">
        <f t="shared" si="151"/>
        <v>3.3000000000000002E-2</v>
      </c>
      <c r="L176" s="223">
        <f t="shared" si="152"/>
        <v>0</v>
      </c>
      <c r="M176" s="445">
        <f t="shared" si="140"/>
        <v>1</v>
      </c>
      <c r="N176" s="445">
        <f t="shared" si="140"/>
        <v>1.028</v>
      </c>
      <c r="O176" s="445">
        <f t="shared" si="140"/>
        <v>1.0382800000000001</v>
      </c>
      <c r="P176" s="445">
        <f t="shared" si="140"/>
        <v>1.0465862400000001</v>
      </c>
      <c r="Q176" s="440">
        <f t="shared" si="124"/>
        <v>-30.644448404400006</v>
      </c>
      <c r="R176" s="134">
        <f t="shared" si="125"/>
        <v>-30.644448404400006</v>
      </c>
      <c r="S176" s="134">
        <f t="shared" si="126"/>
        <v>-31.502492959723206</v>
      </c>
      <c r="T176" s="134">
        <f t="shared" si="127"/>
        <v>-31.817517889320442</v>
      </c>
      <c r="U176" s="1069">
        <f t="shared" si="128"/>
        <v>-32.072058032435002</v>
      </c>
      <c r="V176" s="134">
        <f t="shared" si="142"/>
        <v>-32.072058032435002</v>
      </c>
      <c r="W176" s="100">
        <f t="shared" si="141"/>
        <v>-51.074080674000008</v>
      </c>
      <c r="X176" s="100">
        <f t="shared" si="141"/>
        <v>-102.14816134800002</v>
      </c>
      <c r="Y176" s="100">
        <f t="shared" si="141"/>
        <v>-102.14816134800002</v>
      </c>
      <c r="Z176" s="151">
        <f t="shared" si="141"/>
        <v>-102.14816134800002</v>
      </c>
      <c r="AA176" s="448">
        <f t="shared" si="129"/>
        <v>-51.074080674000008</v>
      </c>
      <c r="AB176" s="448">
        <f t="shared" si="130"/>
        <v>-105.00830986574402</v>
      </c>
      <c r="AC176" s="448">
        <f t="shared" si="131"/>
        <v>-106.05839296440146</v>
      </c>
      <c r="AD176" s="448">
        <f t="shared" si="132"/>
        <v>-106.90686010811667</v>
      </c>
      <c r="AE176" s="285"/>
      <c r="AF176" s="100">
        <f t="shared" si="133"/>
        <v>-3013.3707597660004</v>
      </c>
      <c r="AG176" s="100">
        <f t="shared" si="134"/>
        <v>-2992.7368311737046</v>
      </c>
      <c r="AH176" s="100">
        <f t="shared" si="135"/>
        <v>-2916.6058065210404</v>
      </c>
      <c r="AI176" s="151">
        <f t="shared" si="136"/>
        <v>-2833.031792865092</v>
      </c>
      <c r="AJ176" s="100">
        <f t="shared" si="143"/>
        <v>-225.84958474042804</v>
      </c>
      <c r="AK176" s="100">
        <f t="shared" si="144"/>
        <v>-212.74683578799738</v>
      </c>
      <c r="AL176" s="100">
        <f t="shared" si="137"/>
        <v>-211.05620199915893</v>
      </c>
      <c r="AM176" s="151">
        <f t="shared" si="138"/>
        <v>-208.89600465126</v>
      </c>
      <c r="AN176" s="100">
        <f t="shared" si="145"/>
        <v>-208.89600465126</v>
      </c>
      <c r="AO176" s="100">
        <f t="shared" si="146"/>
        <v>-240.968062683695</v>
      </c>
      <c r="AP176" s="100">
        <f t="shared" si="147"/>
        <v>-233.01611661513306</v>
      </c>
      <c r="AQ176" s="100">
        <f t="shared" si="148"/>
        <v>0</v>
      </c>
      <c r="AR176" s="100">
        <f t="shared" si="149"/>
        <v>-7.9519460685619352</v>
      </c>
      <c r="AS176" s="100">
        <f t="shared" si="139"/>
        <v>0</v>
      </c>
    </row>
    <row r="177" spans="1:45" s="216" customFormat="1">
      <c r="A177" s="1365"/>
      <c r="B177" s="1379"/>
      <c r="C177" s="684">
        <v>-18550.084872659998</v>
      </c>
      <c r="D177" s="690">
        <v>41456</v>
      </c>
      <c r="E177" s="691">
        <v>32</v>
      </c>
      <c r="F177" s="282" t="s">
        <v>876</v>
      </c>
      <c r="G177" s="687" t="s">
        <v>638</v>
      </c>
      <c r="H177" s="1060" t="s">
        <v>662</v>
      </c>
      <c r="I177" s="137">
        <f t="shared" si="113"/>
        <v>30</v>
      </c>
      <c r="J177" s="223">
        <f t="shared" si="150"/>
        <v>0.96699999999999997</v>
      </c>
      <c r="K177" s="223">
        <f t="shared" si="151"/>
        <v>3.3000000000000002E-2</v>
      </c>
      <c r="L177" s="223">
        <f t="shared" si="152"/>
        <v>0</v>
      </c>
      <c r="M177" s="445">
        <f t="shared" si="140"/>
        <v>1</v>
      </c>
      <c r="N177" s="445">
        <f t="shared" si="140"/>
        <v>1.028</v>
      </c>
      <c r="O177" s="445">
        <f t="shared" si="140"/>
        <v>1.0382800000000001</v>
      </c>
      <c r="P177" s="445">
        <f t="shared" si="140"/>
        <v>1.0465862400000001</v>
      </c>
      <c r="Q177" s="440">
        <f t="shared" si="124"/>
        <v>-185.50084872659997</v>
      </c>
      <c r="R177" s="134">
        <f t="shared" si="125"/>
        <v>-185.50084872659997</v>
      </c>
      <c r="S177" s="134">
        <f t="shared" si="126"/>
        <v>-190.69487249094476</v>
      </c>
      <c r="T177" s="134">
        <f t="shared" si="127"/>
        <v>-192.60182121585424</v>
      </c>
      <c r="U177" s="1069">
        <f t="shared" si="128"/>
        <v>-194.14263578558106</v>
      </c>
      <c r="V177" s="134">
        <f t="shared" si="142"/>
        <v>-194.14263578558106</v>
      </c>
      <c r="W177" s="100">
        <f t="shared" si="141"/>
        <v>-309.16808121099996</v>
      </c>
      <c r="X177" s="100">
        <f t="shared" si="141"/>
        <v>-618.33616242199992</v>
      </c>
      <c r="Y177" s="100">
        <f t="shared" si="141"/>
        <v>-618.33616242199992</v>
      </c>
      <c r="Z177" s="151">
        <f t="shared" si="141"/>
        <v>-618.33616242199992</v>
      </c>
      <c r="AA177" s="448">
        <f t="shared" si="129"/>
        <v>-309.16808121099996</v>
      </c>
      <c r="AB177" s="448">
        <f t="shared" si="130"/>
        <v>-635.64957496981594</v>
      </c>
      <c r="AC177" s="448">
        <f t="shared" si="131"/>
        <v>-642.00607071951413</v>
      </c>
      <c r="AD177" s="448">
        <f t="shared" si="132"/>
        <v>-647.14211928527027</v>
      </c>
      <c r="AE177" s="285"/>
      <c r="AF177" s="100">
        <f t="shared" si="133"/>
        <v>-18240.916791448999</v>
      </c>
      <c r="AG177" s="100">
        <f t="shared" si="134"/>
        <v>-18116.012886639757</v>
      </c>
      <c r="AH177" s="100">
        <f t="shared" si="135"/>
        <v>-17655.166944786641</v>
      </c>
      <c r="AI177" s="151">
        <f t="shared" si="136"/>
        <v>-17149.266161059666</v>
      </c>
      <c r="AJ177" s="100">
        <f t="shared" si="143"/>
        <v>-1367.141255115042</v>
      </c>
      <c r="AK177" s="100">
        <f t="shared" si="144"/>
        <v>-1287.8260388888471</v>
      </c>
      <c r="AL177" s="100">
        <f t="shared" si="137"/>
        <v>-1277.592080731833</v>
      </c>
      <c r="AM177" s="151">
        <f t="shared" si="138"/>
        <v>-1264.5157010834182</v>
      </c>
      <c r="AN177" s="100">
        <f t="shared" si="145"/>
        <v>-1264.5157010834182</v>
      </c>
      <c r="AO177" s="100">
        <f t="shared" si="146"/>
        <v>-1458.6583368689992</v>
      </c>
      <c r="AP177" s="100">
        <f t="shared" si="147"/>
        <v>-1410.5226117523221</v>
      </c>
      <c r="AQ177" s="100">
        <f t="shared" si="148"/>
        <v>0</v>
      </c>
      <c r="AR177" s="100">
        <f t="shared" si="149"/>
        <v>-48.135725116676973</v>
      </c>
      <c r="AS177" s="100">
        <f t="shared" si="139"/>
        <v>0</v>
      </c>
    </row>
    <row r="178" spans="1:45" s="216" customFormat="1">
      <c r="A178" s="688" t="s">
        <v>1225</v>
      </c>
      <c r="B178" s="689" t="s">
        <v>637</v>
      </c>
      <c r="C178" s="684">
        <v>67768.673302815005</v>
      </c>
      <c r="D178" s="690">
        <v>41456</v>
      </c>
      <c r="E178" s="691">
        <v>21</v>
      </c>
      <c r="F178" s="282" t="s">
        <v>876</v>
      </c>
      <c r="G178" s="687" t="s">
        <v>638</v>
      </c>
      <c r="H178" s="1060" t="s">
        <v>662</v>
      </c>
      <c r="I178" s="137">
        <f t="shared" si="113"/>
        <v>55</v>
      </c>
      <c r="J178" s="223">
        <f t="shared" si="150"/>
        <v>0.96699999999999997</v>
      </c>
      <c r="K178" s="223">
        <f t="shared" si="151"/>
        <v>3.3000000000000002E-2</v>
      </c>
      <c r="L178" s="223">
        <f t="shared" si="152"/>
        <v>0</v>
      </c>
      <c r="M178" s="445">
        <f t="shared" si="140"/>
        <v>1</v>
      </c>
      <c r="N178" s="445">
        <f t="shared" si="140"/>
        <v>1.028</v>
      </c>
      <c r="O178" s="445">
        <f t="shared" si="140"/>
        <v>1.0382800000000001</v>
      </c>
      <c r="P178" s="445">
        <f t="shared" si="140"/>
        <v>1.0465862400000001</v>
      </c>
      <c r="Q178" s="440">
        <f t="shared" si="124"/>
        <v>677.68673302815012</v>
      </c>
      <c r="R178" s="134">
        <f t="shared" si="125"/>
        <v>677.68673302815012</v>
      </c>
      <c r="S178" s="134">
        <f t="shared" si="126"/>
        <v>696.66196155293835</v>
      </c>
      <c r="T178" s="134">
        <f t="shared" si="127"/>
        <v>703.6285811684678</v>
      </c>
      <c r="U178" s="1069">
        <f t="shared" si="128"/>
        <v>709.25760981781548</v>
      </c>
      <c r="V178" s="134">
        <f t="shared" si="142"/>
        <v>709.25760981781548</v>
      </c>
      <c r="W178" s="100">
        <f t="shared" si="141"/>
        <v>616.07884820740912</v>
      </c>
      <c r="X178" s="100">
        <f t="shared" si="141"/>
        <v>1232.1576964148182</v>
      </c>
      <c r="Y178" s="100">
        <f t="shared" si="141"/>
        <v>1232.1576964148182</v>
      </c>
      <c r="Z178" s="151">
        <f t="shared" si="141"/>
        <v>1232.1576964148182</v>
      </c>
      <c r="AA178" s="448">
        <f t="shared" si="129"/>
        <v>616.07884820740912</v>
      </c>
      <c r="AB178" s="448">
        <f t="shared" si="130"/>
        <v>1266.6581119144332</v>
      </c>
      <c r="AC178" s="448">
        <f t="shared" si="131"/>
        <v>1279.3246930335777</v>
      </c>
      <c r="AD178" s="448">
        <f t="shared" si="132"/>
        <v>1289.5592905778462</v>
      </c>
      <c r="AE178" s="285"/>
      <c r="AF178" s="100">
        <f t="shared" si="133"/>
        <v>67152.594454607592</v>
      </c>
      <c r="AG178" s="100">
        <f t="shared" si="134"/>
        <v>67766.208987422171</v>
      </c>
      <c r="AH178" s="100">
        <f t="shared" si="135"/>
        <v>67164.546384262823</v>
      </c>
      <c r="AI178" s="151">
        <f t="shared" si="136"/>
        <v>66412.303464759083</v>
      </c>
      <c r="AJ178" s="100">
        <f t="shared" si="143"/>
        <v>4510.9293265746501</v>
      </c>
      <c r="AK178" s="100">
        <f t="shared" si="144"/>
        <v>3706.2416354616316</v>
      </c>
      <c r="AL178" s="100">
        <f t="shared" si="137"/>
        <v>3697.2483628670393</v>
      </c>
      <c r="AM178" s="151">
        <f t="shared" si="138"/>
        <v>3680.4022153091732</v>
      </c>
      <c r="AN178" s="100">
        <f t="shared" si="145"/>
        <v>3680.4022153091732</v>
      </c>
      <c r="AO178" s="100">
        <f t="shared" si="146"/>
        <v>4389.6598251269888</v>
      </c>
      <c r="AP178" s="100">
        <f t="shared" si="147"/>
        <v>4244.8010508977977</v>
      </c>
      <c r="AQ178" s="100">
        <f t="shared" si="148"/>
        <v>0</v>
      </c>
      <c r="AR178" s="100">
        <f t="shared" si="149"/>
        <v>144.85877422919063</v>
      </c>
      <c r="AS178" s="100">
        <f t="shared" si="139"/>
        <v>0</v>
      </c>
    </row>
    <row r="179" spans="1:45" s="216" customFormat="1">
      <c r="A179" s="1393" t="s">
        <v>1225</v>
      </c>
      <c r="B179" s="689" t="s">
        <v>635</v>
      </c>
      <c r="C179" s="684">
        <v>31829.896962989998</v>
      </c>
      <c r="D179" s="690">
        <v>41456</v>
      </c>
      <c r="E179" s="691">
        <v>32</v>
      </c>
      <c r="F179" s="282" t="s">
        <v>876</v>
      </c>
      <c r="G179" s="687" t="s">
        <v>638</v>
      </c>
      <c r="H179" s="1060" t="s">
        <v>662</v>
      </c>
      <c r="I179" s="137">
        <f t="shared" si="113"/>
        <v>30</v>
      </c>
      <c r="J179" s="223">
        <f t="shared" si="150"/>
        <v>0.96699999999999997</v>
      </c>
      <c r="K179" s="223">
        <f t="shared" si="151"/>
        <v>3.3000000000000002E-2</v>
      </c>
      <c r="L179" s="223">
        <f t="shared" si="152"/>
        <v>0</v>
      </c>
      <c r="M179" s="445">
        <f t="shared" si="140"/>
        <v>1</v>
      </c>
      <c r="N179" s="445">
        <f t="shared" si="140"/>
        <v>1.028</v>
      </c>
      <c r="O179" s="445">
        <f t="shared" si="140"/>
        <v>1.0382800000000001</v>
      </c>
      <c r="P179" s="445">
        <f t="shared" si="140"/>
        <v>1.0465862400000001</v>
      </c>
      <c r="Q179" s="440">
        <f t="shared" si="124"/>
        <v>318.2989696299</v>
      </c>
      <c r="R179" s="134">
        <f t="shared" si="125"/>
        <v>318.2989696299</v>
      </c>
      <c r="S179" s="134">
        <f t="shared" si="126"/>
        <v>327.21134077953718</v>
      </c>
      <c r="T179" s="134">
        <f t="shared" si="127"/>
        <v>330.4834541873326</v>
      </c>
      <c r="U179" s="1069">
        <f t="shared" si="128"/>
        <v>333.12732182083124</v>
      </c>
      <c r="V179" s="134">
        <f t="shared" si="142"/>
        <v>333.12732182083124</v>
      </c>
      <c r="W179" s="100">
        <f t="shared" si="141"/>
        <v>530.49828271649994</v>
      </c>
      <c r="X179" s="100">
        <f t="shared" si="141"/>
        <v>1060.9965654329999</v>
      </c>
      <c r="Y179" s="100">
        <f t="shared" si="141"/>
        <v>1060.9965654329999</v>
      </c>
      <c r="Z179" s="151">
        <f t="shared" si="141"/>
        <v>1060.9965654329999</v>
      </c>
      <c r="AA179" s="448">
        <f t="shared" si="129"/>
        <v>530.49828271649994</v>
      </c>
      <c r="AB179" s="448">
        <f t="shared" si="130"/>
        <v>1090.7044692651239</v>
      </c>
      <c r="AC179" s="448">
        <f t="shared" si="131"/>
        <v>1101.6115139577753</v>
      </c>
      <c r="AD179" s="448">
        <f t="shared" si="132"/>
        <v>1110.4244060694375</v>
      </c>
      <c r="AE179" s="285"/>
      <c r="AF179" s="100">
        <f t="shared" si="133"/>
        <v>31299.398680273498</v>
      </c>
      <c r="AG179" s="100">
        <f t="shared" si="134"/>
        <v>31085.077374056033</v>
      </c>
      <c r="AH179" s="100">
        <f t="shared" si="135"/>
        <v>30294.316633838818</v>
      </c>
      <c r="AI179" s="151">
        <f t="shared" si="136"/>
        <v>29426.246760840091</v>
      </c>
      <c r="AJ179" s="100">
        <f t="shared" si="143"/>
        <v>2345.8634061723628</v>
      </c>
      <c r="AK179" s="100">
        <f t="shared" si="144"/>
        <v>2209.7672547311408</v>
      </c>
      <c r="AL179" s="100">
        <f t="shared" si="137"/>
        <v>2192.2069127759723</v>
      </c>
      <c r="AM179" s="151">
        <f t="shared" si="138"/>
        <v>2169.7692894596807</v>
      </c>
      <c r="AN179" s="100">
        <f t="shared" si="145"/>
        <v>2169.7692894596807</v>
      </c>
      <c r="AO179" s="100">
        <f t="shared" si="146"/>
        <v>2502.8966112805119</v>
      </c>
      <c r="AP179" s="100">
        <f t="shared" si="147"/>
        <v>2420.3010231082549</v>
      </c>
      <c r="AQ179" s="100">
        <f t="shared" si="148"/>
        <v>0</v>
      </c>
      <c r="AR179" s="100">
        <f t="shared" si="149"/>
        <v>82.595588172256896</v>
      </c>
      <c r="AS179" s="100">
        <f t="shared" si="139"/>
        <v>0</v>
      </c>
    </row>
    <row r="180" spans="1:45" s="216" customFormat="1">
      <c r="A180" s="1393" t="s">
        <v>1225</v>
      </c>
      <c r="B180" s="683" t="s">
        <v>888</v>
      </c>
      <c r="C180" s="684">
        <v>500046.86665712117</v>
      </c>
      <c r="D180" s="685">
        <v>41639</v>
      </c>
      <c r="E180" s="691">
        <v>21</v>
      </c>
      <c r="F180" s="282" t="s">
        <v>876</v>
      </c>
      <c r="G180" s="687" t="s">
        <v>638</v>
      </c>
      <c r="H180" s="1060" t="s">
        <v>662</v>
      </c>
      <c r="I180" s="137">
        <f t="shared" si="113"/>
        <v>55</v>
      </c>
      <c r="J180" s="223">
        <f t="shared" si="150"/>
        <v>0.96699999999999997</v>
      </c>
      <c r="K180" s="223">
        <f t="shared" si="151"/>
        <v>3.3000000000000002E-2</v>
      </c>
      <c r="L180" s="223">
        <f t="shared" si="152"/>
        <v>0</v>
      </c>
      <c r="M180" s="445">
        <f t="shared" si="140"/>
        <v>1</v>
      </c>
      <c r="N180" s="445">
        <f t="shared" si="140"/>
        <v>1.028</v>
      </c>
      <c r="O180" s="445">
        <f t="shared" si="140"/>
        <v>1.0382800000000001</v>
      </c>
      <c r="P180" s="445">
        <f t="shared" si="140"/>
        <v>1.0465862400000001</v>
      </c>
      <c r="Q180" s="440">
        <f t="shared" si="124"/>
        <v>5000.4686665712115</v>
      </c>
      <c r="R180" s="134">
        <f t="shared" si="125"/>
        <v>5000.4686665712115</v>
      </c>
      <c r="S180" s="134">
        <f t="shared" si="126"/>
        <v>5140.4817892352057</v>
      </c>
      <c r="T180" s="134">
        <f t="shared" si="127"/>
        <v>5191.8866071275579</v>
      </c>
      <c r="U180" s="1069">
        <f t="shared" si="128"/>
        <v>5233.4216999845785</v>
      </c>
      <c r="V180" s="134">
        <f t="shared" si="142"/>
        <v>5233.4216999845785</v>
      </c>
      <c r="W180" s="100">
        <f t="shared" si="141"/>
        <v>757.64676766230468</v>
      </c>
      <c r="X180" s="100">
        <f t="shared" si="141"/>
        <v>9091.761211947658</v>
      </c>
      <c r="Y180" s="100">
        <f t="shared" si="141"/>
        <v>9091.761211947658</v>
      </c>
      <c r="Z180" s="151">
        <f t="shared" si="141"/>
        <v>9091.761211947658</v>
      </c>
      <c r="AA180" s="448">
        <f t="shared" si="129"/>
        <v>757.64676766230468</v>
      </c>
      <c r="AB180" s="448">
        <f t="shared" si="130"/>
        <v>9346.3305258821929</v>
      </c>
      <c r="AC180" s="448">
        <f t="shared" si="131"/>
        <v>9439.7938311410144</v>
      </c>
      <c r="AD180" s="448">
        <f t="shared" si="132"/>
        <v>9515.3121817901429</v>
      </c>
      <c r="AE180" s="285"/>
      <c r="AF180" s="100">
        <f t="shared" si="133"/>
        <v>499289.21988945885</v>
      </c>
      <c r="AG180" s="100">
        <f t="shared" si="134"/>
        <v>503922.98752048152</v>
      </c>
      <c r="AH180" s="100">
        <f t="shared" si="135"/>
        <v>499522.42356454529</v>
      </c>
      <c r="AI180" s="151">
        <f t="shared" si="136"/>
        <v>494003.29077127151</v>
      </c>
      <c r="AJ180" s="100">
        <f t="shared" si="143"/>
        <v>29716.421521250919</v>
      </c>
      <c r="AK180" s="100">
        <f t="shared" si="144"/>
        <v>27487.558076619527</v>
      </c>
      <c r="AL180" s="100">
        <f t="shared" si="137"/>
        <v>27422.601079464643</v>
      </c>
      <c r="AM180" s="151">
        <f t="shared" si="138"/>
        <v>27299.430649555914</v>
      </c>
      <c r="AN180" s="100">
        <f t="shared" si="145"/>
        <v>27299.430649555914</v>
      </c>
      <c r="AO180" s="100">
        <f t="shared" si="146"/>
        <v>32532.852349540492</v>
      </c>
      <c r="AP180" s="100">
        <f t="shared" si="147"/>
        <v>31459.268222005656</v>
      </c>
      <c r="AQ180" s="100">
        <f t="shared" si="148"/>
        <v>0</v>
      </c>
      <c r="AR180" s="100">
        <f t="shared" si="149"/>
        <v>1073.5841275348362</v>
      </c>
      <c r="AS180" s="100">
        <f t="shared" si="139"/>
        <v>0</v>
      </c>
    </row>
    <row r="181" spans="1:45" s="108" customFormat="1">
      <c r="A181" s="1393" t="s">
        <v>1225</v>
      </c>
      <c r="B181" s="683" t="s">
        <v>889</v>
      </c>
      <c r="C181" s="684">
        <v>46950.832133210992</v>
      </c>
      <c r="D181" s="685">
        <v>41639</v>
      </c>
      <c r="E181" s="691">
        <v>32</v>
      </c>
      <c r="F181" s="282" t="s">
        <v>876</v>
      </c>
      <c r="G181" s="687" t="s">
        <v>638</v>
      </c>
      <c r="H181" s="1060" t="s">
        <v>662</v>
      </c>
      <c r="I181" s="137">
        <f t="shared" si="113"/>
        <v>30</v>
      </c>
      <c r="J181" s="223">
        <f t="shared" si="150"/>
        <v>0.96699999999999997</v>
      </c>
      <c r="K181" s="223">
        <f t="shared" si="151"/>
        <v>3.3000000000000002E-2</v>
      </c>
      <c r="L181" s="223">
        <f t="shared" si="152"/>
        <v>0</v>
      </c>
      <c r="M181" s="445">
        <f t="shared" si="140"/>
        <v>1</v>
      </c>
      <c r="N181" s="445">
        <f t="shared" si="140"/>
        <v>1.028</v>
      </c>
      <c r="O181" s="445">
        <f t="shared" si="140"/>
        <v>1.0382800000000001</v>
      </c>
      <c r="P181" s="445">
        <f t="shared" si="140"/>
        <v>1.0465862400000001</v>
      </c>
      <c r="Q181" s="440">
        <f t="shared" si="124"/>
        <v>469.50832133210992</v>
      </c>
      <c r="R181" s="134">
        <f t="shared" si="125"/>
        <v>469.50832133210992</v>
      </c>
      <c r="S181" s="134">
        <f t="shared" si="126"/>
        <v>482.654554329409</v>
      </c>
      <c r="T181" s="134">
        <f t="shared" si="127"/>
        <v>487.48109987270311</v>
      </c>
      <c r="U181" s="1069">
        <f t="shared" si="128"/>
        <v>491.38094867168473</v>
      </c>
      <c r="V181" s="134">
        <f t="shared" si="142"/>
        <v>491.38094867168473</v>
      </c>
      <c r="W181" s="100">
        <f t="shared" si="141"/>
        <v>130.4189781478083</v>
      </c>
      <c r="X181" s="100">
        <f t="shared" si="141"/>
        <v>1565.0277377736998</v>
      </c>
      <c r="Y181" s="100">
        <f t="shared" si="141"/>
        <v>1565.0277377736998</v>
      </c>
      <c r="Z181" s="151">
        <f t="shared" si="141"/>
        <v>1565.0277377736998</v>
      </c>
      <c r="AA181" s="448">
        <f t="shared" si="129"/>
        <v>130.4189781478083</v>
      </c>
      <c r="AB181" s="448">
        <f t="shared" si="130"/>
        <v>1608.8485144313634</v>
      </c>
      <c r="AC181" s="448">
        <f t="shared" si="131"/>
        <v>1624.9369995756772</v>
      </c>
      <c r="AD181" s="448">
        <f t="shared" si="132"/>
        <v>1637.9364955722826</v>
      </c>
      <c r="AE181" s="285"/>
      <c r="AF181" s="100">
        <f t="shared" si="133"/>
        <v>46820.413155063186</v>
      </c>
      <c r="AG181" s="100">
        <f t="shared" si="134"/>
        <v>46522.536208973594</v>
      </c>
      <c r="AH181" s="100">
        <f t="shared" si="135"/>
        <v>45362.824571487654</v>
      </c>
      <c r="AI181" s="151">
        <f t="shared" si="136"/>
        <v>44087.790672487274</v>
      </c>
      <c r="AJ181" s="100">
        <f t="shared" si="143"/>
        <v>2846.0029411414735</v>
      </c>
      <c r="AK181" s="100">
        <f t="shared" si="144"/>
        <v>3283.6598179544126</v>
      </c>
      <c r="AL181" s="100">
        <f t="shared" si="137"/>
        <v>3257.9986841492328</v>
      </c>
      <c r="AM181" s="151">
        <f t="shared" si="138"/>
        <v>3225.0969597818244</v>
      </c>
      <c r="AN181" s="100">
        <f t="shared" si="145"/>
        <v>3225.0969597818244</v>
      </c>
      <c r="AO181" s="100">
        <f t="shared" si="146"/>
        <v>3716.4779084535089</v>
      </c>
      <c r="AP181" s="100">
        <f t="shared" si="147"/>
        <v>3593.8341374745432</v>
      </c>
      <c r="AQ181" s="100">
        <f t="shared" si="148"/>
        <v>0</v>
      </c>
      <c r="AR181" s="100">
        <f t="shared" si="149"/>
        <v>122.6437709789658</v>
      </c>
      <c r="AS181" s="100">
        <f t="shared" si="139"/>
        <v>0</v>
      </c>
    </row>
    <row r="182" spans="1:45" s="102" customFormat="1">
      <c r="A182" s="1393" t="s">
        <v>1225</v>
      </c>
      <c r="B182" s="683" t="s">
        <v>888</v>
      </c>
      <c r="C182" s="684">
        <v>59152.390737840004</v>
      </c>
      <c r="D182" s="685">
        <v>41821</v>
      </c>
      <c r="E182" s="691">
        <v>21</v>
      </c>
      <c r="F182" s="282" t="s">
        <v>876</v>
      </c>
      <c r="G182" s="687"/>
      <c r="H182" s="1060" t="s">
        <v>662</v>
      </c>
      <c r="I182" s="137">
        <f t="shared" si="113"/>
        <v>55</v>
      </c>
      <c r="J182" s="223">
        <f t="shared" si="150"/>
        <v>0.96699999999999997</v>
      </c>
      <c r="K182" s="223">
        <f t="shared" si="151"/>
        <v>3.3000000000000002E-2</v>
      </c>
      <c r="L182" s="223">
        <f t="shared" si="152"/>
        <v>0</v>
      </c>
      <c r="M182" s="445">
        <f t="shared" si="140"/>
        <v>0</v>
      </c>
      <c r="N182" s="445">
        <f t="shared" si="140"/>
        <v>1</v>
      </c>
      <c r="O182" s="445">
        <f t="shared" si="140"/>
        <v>1.01</v>
      </c>
      <c r="P182" s="445">
        <f t="shared" si="140"/>
        <v>1.0180800000000001</v>
      </c>
      <c r="Q182" s="440">
        <f t="shared" si="124"/>
        <v>591.52390737840005</v>
      </c>
      <c r="R182" s="134">
        <f t="shared" si="125"/>
        <v>0</v>
      </c>
      <c r="S182" s="134">
        <f t="shared" si="126"/>
        <v>591.52390737840005</v>
      </c>
      <c r="T182" s="134">
        <f t="shared" si="127"/>
        <v>597.4391464521841</v>
      </c>
      <c r="U182" s="1069">
        <f t="shared" si="128"/>
        <v>602.21865962380161</v>
      </c>
      <c r="V182" s="134">
        <f t="shared" si="142"/>
        <v>602.21865962380161</v>
      </c>
      <c r="W182" s="100">
        <f t="shared" si="141"/>
        <v>0</v>
      </c>
      <c r="X182" s="100">
        <f t="shared" si="141"/>
        <v>537.74900670763634</v>
      </c>
      <c r="Y182" s="100">
        <f t="shared" si="141"/>
        <v>1075.4980134152727</v>
      </c>
      <c r="Z182" s="151">
        <f t="shared" si="141"/>
        <v>1075.4980134152727</v>
      </c>
      <c r="AA182" s="448">
        <f t="shared" si="129"/>
        <v>0</v>
      </c>
      <c r="AB182" s="448">
        <f t="shared" si="130"/>
        <v>537.74900670763634</v>
      </c>
      <c r="AC182" s="448">
        <f t="shared" si="131"/>
        <v>1086.2529935494254</v>
      </c>
      <c r="AD182" s="448">
        <f t="shared" si="132"/>
        <v>1094.9430174978208</v>
      </c>
      <c r="AE182" s="285"/>
      <c r="AF182" s="100">
        <f t="shared" si="133"/>
        <v>0</v>
      </c>
      <c r="AG182" s="100">
        <f t="shared" si="134"/>
        <v>58614.641731132368</v>
      </c>
      <c r="AH182" s="100">
        <f t="shared" si="135"/>
        <v>58114.535154894271</v>
      </c>
      <c r="AI182" s="151">
        <f t="shared" si="136"/>
        <v>57484.508418635603</v>
      </c>
      <c r="AJ182" s="100">
        <f t="shared" si="143"/>
        <v>0</v>
      </c>
      <c r="AK182" s="100">
        <f t="shared" si="144"/>
        <v>2647.8761090284015</v>
      </c>
      <c r="AL182" s="100">
        <f t="shared" si="137"/>
        <v>3178.3762591256191</v>
      </c>
      <c r="AM182" s="151">
        <f t="shared" si="138"/>
        <v>3164.3853205687028</v>
      </c>
      <c r="AN182" s="100">
        <f t="shared" si="145"/>
        <v>3164.3853205687028</v>
      </c>
      <c r="AO182" s="100">
        <f t="shared" si="146"/>
        <v>3766.6039801925044</v>
      </c>
      <c r="AP182" s="100">
        <f t="shared" si="147"/>
        <v>0</v>
      </c>
      <c r="AQ182" s="100">
        <f t="shared" si="148"/>
        <v>3642.3060488461515</v>
      </c>
      <c r="AR182" s="100">
        <f t="shared" si="149"/>
        <v>124.29793134635266</v>
      </c>
      <c r="AS182" s="100">
        <f t="shared" si="139"/>
        <v>0</v>
      </c>
    </row>
    <row r="183" spans="1:45" s="228" customFormat="1">
      <c r="A183" s="1393" t="s">
        <v>1225</v>
      </c>
      <c r="B183" s="698" t="s">
        <v>889</v>
      </c>
      <c r="C183" s="699">
        <v>32781.596452199999</v>
      </c>
      <c r="D183" s="700">
        <v>41821</v>
      </c>
      <c r="E183" s="701">
        <v>32</v>
      </c>
      <c r="F183" s="702" t="s">
        <v>876</v>
      </c>
      <c r="G183" s="703"/>
      <c r="H183" s="1060" t="s">
        <v>662</v>
      </c>
      <c r="I183" s="137">
        <f t="shared" si="113"/>
        <v>30</v>
      </c>
      <c r="J183" s="223">
        <f t="shared" si="150"/>
        <v>0.96699999999999997</v>
      </c>
      <c r="K183" s="223">
        <f t="shared" si="151"/>
        <v>3.3000000000000002E-2</v>
      </c>
      <c r="L183" s="223">
        <f t="shared" si="152"/>
        <v>0</v>
      </c>
      <c r="M183" s="445">
        <f t="shared" si="140"/>
        <v>0</v>
      </c>
      <c r="N183" s="445">
        <f t="shared" si="140"/>
        <v>1</v>
      </c>
      <c r="O183" s="445">
        <f t="shared" si="140"/>
        <v>1.01</v>
      </c>
      <c r="P183" s="445">
        <f t="shared" si="140"/>
        <v>1.0180800000000001</v>
      </c>
      <c r="Q183" s="440">
        <f t="shared" si="124"/>
        <v>327.815964522</v>
      </c>
      <c r="R183" s="134">
        <f t="shared" si="125"/>
        <v>0</v>
      </c>
      <c r="S183" s="134">
        <f t="shared" si="126"/>
        <v>327.815964522</v>
      </c>
      <c r="T183" s="134">
        <f t="shared" si="127"/>
        <v>331.09412416722</v>
      </c>
      <c r="U183" s="1069">
        <f t="shared" si="128"/>
        <v>333.74287716055778</v>
      </c>
      <c r="V183" s="134">
        <f t="shared" si="142"/>
        <v>333.74287716055778</v>
      </c>
      <c r="W183" s="100">
        <f t="shared" si="141"/>
        <v>0</v>
      </c>
      <c r="X183" s="100">
        <f t="shared" si="141"/>
        <v>546.35994086999995</v>
      </c>
      <c r="Y183" s="100">
        <f t="shared" si="141"/>
        <v>1092.7198817399999</v>
      </c>
      <c r="Z183" s="151">
        <f t="shared" si="141"/>
        <v>1092.7198817399999</v>
      </c>
      <c r="AA183" s="448">
        <f t="shared" si="129"/>
        <v>0</v>
      </c>
      <c r="AB183" s="448">
        <f t="shared" si="130"/>
        <v>546.35994086999995</v>
      </c>
      <c r="AC183" s="448">
        <f t="shared" si="131"/>
        <v>1103.6470805573999</v>
      </c>
      <c r="AD183" s="448">
        <f t="shared" si="132"/>
        <v>1112.4762572018592</v>
      </c>
      <c r="AE183" s="285"/>
      <c r="AF183" s="100">
        <f t="shared" si="133"/>
        <v>0</v>
      </c>
      <c r="AG183" s="100">
        <f t="shared" si="134"/>
        <v>32235.23651133</v>
      </c>
      <c r="AH183" s="100">
        <f t="shared" si="135"/>
        <v>31453.941795885901</v>
      </c>
      <c r="AI183" s="151">
        <f t="shared" si="136"/>
        <v>30593.097073051129</v>
      </c>
      <c r="AJ183" s="100">
        <f t="shared" si="143"/>
        <v>0</v>
      </c>
      <c r="AK183" s="100">
        <f t="shared" si="144"/>
        <v>1706.8284552778798</v>
      </c>
      <c r="AL183" s="100">
        <f t="shared" si="137"/>
        <v>2235.988985209292</v>
      </c>
      <c r="AM183" s="151">
        <f t="shared" si="138"/>
        <v>2213.8277518317</v>
      </c>
      <c r="AN183" s="100">
        <f t="shared" si="145"/>
        <v>2213.8277518317</v>
      </c>
      <c r="AO183" s="100">
        <f t="shared" si="146"/>
        <v>2547.5706289922578</v>
      </c>
      <c r="AP183" s="100">
        <f t="shared" si="147"/>
        <v>0</v>
      </c>
      <c r="AQ183" s="100">
        <f t="shared" si="148"/>
        <v>2463.5007982355132</v>
      </c>
      <c r="AR183" s="100">
        <f t="shared" si="149"/>
        <v>84.069830756744508</v>
      </c>
      <c r="AS183" s="100">
        <f t="shared" si="139"/>
        <v>0</v>
      </c>
    </row>
    <row r="184" spans="1:45" s="228" customFormat="1">
      <c r="A184" s="1393" t="s">
        <v>1225</v>
      </c>
      <c r="B184" s="683" t="s">
        <v>1141</v>
      </c>
      <c r="C184" s="684">
        <v>75739.229055999996</v>
      </c>
      <c r="D184" s="685">
        <v>42004</v>
      </c>
      <c r="E184" s="691">
        <v>21</v>
      </c>
      <c r="F184" s="282" t="s">
        <v>876</v>
      </c>
      <c r="G184" s="687"/>
      <c r="H184" s="1310" t="s">
        <v>638</v>
      </c>
      <c r="I184" s="137">
        <f t="shared" si="113"/>
        <v>55</v>
      </c>
      <c r="J184" s="223">
        <f t="shared" si="150"/>
        <v>0.96699999999999997</v>
      </c>
      <c r="K184" s="223">
        <f t="shared" si="151"/>
        <v>3.3000000000000002E-2</v>
      </c>
      <c r="L184" s="223">
        <f t="shared" si="152"/>
        <v>0</v>
      </c>
      <c r="M184" s="445">
        <f t="shared" si="140"/>
        <v>0</v>
      </c>
      <c r="N184" s="445">
        <f t="shared" si="140"/>
        <v>1</v>
      </c>
      <c r="O184" s="445">
        <f t="shared" si="140"/>
        <v>1.01</v>
      </c>
      <c r="P184" s="445">
        <f t="shared" si="140"/>
        <v>1.0180800000000001</v>
      </c>
      <c r="Q184" s="440">
        <f t="shared" si="124"/>
        <v>757.39229055999999</v>
      </c>
      <c r="R184" s="134">
        <f t="shared" si="125"/>
        <v>0</v>
      </c>
      <c r="S184" s="134">
        <f t="shared" si="126"/>
        <v>757.39229055999999</v>
      </c>
      <c r="T184" s="134">
        <f t="shared" si="127"/>
        <v>764.96621346560005</v>
      </c>
      <c r="U184" s="1069">
        <f t="shared" si="128"/>
        <v>771.08594317332484</v>
      </c>
      <c r="V184" s="134">
        <f t="shared" si="142"/>
        <v>2385.8463066472441</v>
      </c>
      <c r="W184" s="100">
        <f t="shared" si="141"/>
        <v>0</v>
      </c>
      <c r="X184" s="100">
        <f t="shared" si="141"/>
        <v>114.75640766060606</v>
      </c>
      <c r="Y184" s="100">
        <f t="shared" si="141"/>
        <v>1377.0768919272728</v>
      </c>
      <c r="Z184" s="151">
        <f t="shared" si="141"/>
        <v>1377.0768919272728</v>
      </c>
      <c r="AA184" s="448">
        <f t="shared" si="129"/>
        <v>0</v>
      </c>
      <c r="AB184" s="448">
        <f t="shared" si="130"/>
        <v>114.75640766060606</v>
      </c>
      <c r="AC184" s="448">
        <f t="shared" si="131"/>
        <v>1390.8476608465455</v>
      </c>
      <c r="AD184" s="448">
        <f t="shared" si="132"/>
        <v>1401.974442133318</v>
      </c>
      <c r="AE184" s="285"/>
      <c r="AF184" s="100">
        <f t="shared" si="133"/>
        <v>0</v>
      </c>
      <c r="AG184" s="100">
        <f t="shared" si="134"/>
        <v>75624.47264833939</v>
      </c>
      <c r="AH184" s="100">
        <f t="shared" si="135"/>
        <v>74989.869713976237</v>
      </c>
      <c r="AI184" s="151">
        <f t="shared" si="136"/>
        <v>74187.81422955473</v>
      </c>
      <c r="AJ184" s="100">
        <f t="shared" si="143"/>
        <v>0</v>
      </c>
      <c r="AK184" s="100">
        <f t="shared" si="144"/>
        <v>2837.2374230008236</v>
      </c>
      <c r="AL184" s="100">
        <f t="shared" si="137"/>
        <v>4090.4829705496895</v>
      </c>
      <c r="AM184" s="151">
        <f t="shared" si="138"/>
        <v>4072.735754397288</v>
      </c>
      <c r="AN184" s="100">
        <f t="shared" si="145"/>
        <v>11395.594040486652</v>
      </c>
      <c r="AO184" s="100">
        <f t="shared" si="146"/>
        <v>13781.440347133896</v>
      </c>
      <c r="AP184" s="100">
        <f t="shared" si="147"/>
        <v>0</v>
      </c>
      <c r="AQ184" s="100">
        <f t="shared" si="148"/>
        <v>13326.652815678477</v>
      </c>
      <c r="AR184" s="100">
        <f t="shared" si="149"/>
        <v>454.78753145541856</v>
      </c>
      <c r="AS184" s="100">
        <f t="shared" si="139"/>
        <v>0</v>
      </c>
    </row>
    <row r="185" spans="1:45" s="228" customFormat="1">
      <c r="A185" s="1393" t="s">
        <v>1225</v>
      </c>
      <c r="B185" s="683" t="s">
        <v>1131</v>
      </c>
      <c r="C185" s="684">
        <v>5597.5160159999996</v>
      </c>
      <c r="D185" s="685">
        <v>42004</v>
      </c>
      <c r="E185" s="691">
        <v>34</v>
      </c>
      <c r="F185" s="282" t="s">
        <v>876</v>
      </c>
      <c r="G185" s="687"/>
      <c r="H185" s="1310" t="s">
        <v>638</v>
      </c>
      <c r="I185" s="137">
        <f t="shared" si="113"/>
        <v>30</v>
      </c>
      <c r="J185" s="223">
        <f t="shared" si="150"/>
        <v>0.96699999999999997</v>
      </c>
      <c r="K185" s="223">
        <f t="shared" si="151"/>
        <v>3.3000000000000002E-2</v>
      </c>
      <c r="L185" s="223">
        <f t="shared" si="152"/>
        <v>0</v>
      </c>
      <c r="M185" s="445">
        <f t="shared" si="140"/>
        <v>0</v>
      </c>
      <c r="N185" s="445">
        <f t="shared" si="140"/>
        <v>1</v>
      </c>
      <c r="O185" s="445">
        <f t="shared" si="140"/>
        <v>1.01</v>
      </c>
      <c r="P185" s="445">
        <f t="shared" si="140"/>
        <v>1.0180800000000001</v>
      </c>
      <c r="Q185" s="440">
        <f t="shared" si="124"/>
        <v>55.975160159999994</v>
      </c>
      <c r="R185" s="134">
        <f t="shared" si="125"/>
        <v>0</v>
      </c>
      <c r="S185" s="134">
        <f t="shared" si="126"/>
        <v>55.975160159999994</v>
      </c>
      <c r="T185" s="134">
        <f t="shared" si="127"/>
        <v>56.534911761599993</v>
      </c>
      <c r="U185" s="1069">
        <f t="shared" si="128"/>
        <v>56.987191055692797</v>
      </c>
      <c r="V185" s="134">
        <f t="shared" si="142"/>
        <v>176.32623251681272</v>
      </c>
      <c r="W185" s="100">
        <f t="shared" si="141"/>
        <v>0</v>
      </c>
      <c r="X185" s="100">
        <f t="shared" si="141"/>
        <v>15.548655599999998</v>
      </c>
      <c r="Y185" s="100">
        <f t="shared" si="141"/>
        <v>186.58386719999999</v>
      </c>
      <c r="Z185" s="151">
        <f t="shared" si="141"/>
        <v>186.58386719999999</v>
      </c>
      <c r="AA185" s="448">
        <f t="shared" si="129"/>
        <v>0</v>
      </c>
      <c r="AB185" s="448">
        <f t="shared" si="130"/>
        <v>15.548655599999998</v>
      </c>
      <c r="AC185" s="448">
        <f t="shared" si="131"/>
        <v>188.44970587199998</v>
      </c>
      <c r="AD185" s="448">
        <f t="shared" si="132"/>
        <v>189.957303518976</v>
      </c>
      <c r="AE185" s="285"/>
      <c r="AF185" s="100">
        <f t="shared" si="133"/>
        <v>0</v>
      </c>
      <c r="AG185" s="100">
        <f t="shared" si="134"/>
        <v>5581.9673604</v>
      </c>
      <c r="AH185" s="100">
        <f t="shared" si="135"/>
        <v>5449.337328132</v>
      </c>
      <c r="AI185" s="151">
        <f t="shared" si="136"/>
        <v>5302.9747232380805</v>
      </c>
      <c r="AJ185" s="100">
        <f t="shared" si="143"/>
        <v>0</v>
      </c>
      <c r="AK185" s="100">
        <f t="shared" si="144"/>
        <v>216.49948057439997</v>
      </c>
      <c r="AL185" s="100">
        <f t="shared" si="137"/>
        <v>384.62584968475198</v>
      </c>
      <c r="AM185" s="151">
        <f t="shared" si="138"/>
        <v>380.86439355554688</v>
      </c>
      <c r="AN185" s="100">
        <f t="shared" si="145"/>
        <v>1015.0411154169597</v>
      </c>
      <c r="AO185" s="100">
        <f t="shared" si="146"/>
        <v>1191.3673479337724</v>
      </c>
      <c r="AP185" s="100">
        <f t="shared" si="147"/>
        <v>0</v>
      </c>
      <c r="AQ185" s="100">
        <f t="shared" si="148"/>
        <v>1152.0522254519578</v>
      </c>
      <c r="AR185" s="100">
        <f t="shared" si="149"/>
        <v>39.315122481814491</v>
      </c>
      <c r="AS185" s="100">
        <f t="shared" si="139"/>
        <v>0</v>
      </c>
    </row>
    <row r="186" spans="1:45" s="228" customFormat="1">
      <c r="A186" s="1393" t="s">
        <v>1225</v>
      </c>
      <c r="B186" s="683" t="s">
        <v>1143</v>
      </c>
      <c r="C186" s="684">
        <v>28929.086647600001</v>
      </c>
      <c r="D186" s="685">
        <v>42186</v>
      </c>
      <c r="E186" s="691">
        <v>21</v>
      </c>
      <c r="F186" s="282" t="s">
        <v>876</v>
      </c>
      <c r="G186" s="687"/>
      <c r="H186" s="1310" t="s">
        <v>638</v>
      </c>
      <c r="I186" s="137">
        <f t="shared" si="113"/>
        <v>55</v>
      </c>
      <c r="J186" s="223">
        <f t="shared" si="150"/>
        <v>0.96699999999999997</v>
      </c>
      <c r="K186" s="223">
        <f t="shared" si="151"/>
        <v>3.3000000000000002E-2</v>
      </c>
      <c r="L186" s="223">
        <f t="shared" si="152"/>
        <v>0</v>
      </c>
      <c r="M186" s="445">
        <f t="shared" si="140"/>
        <v>0</v>
      </c>
      <c r="N186" s="445">
        <f t="shared" si="140"/>
        <v>0</v>
      </c>
      <c r="O186" s="445">
        <f t="shared" si="140"/>
        <v>1</v>
      </c>
      <c r="P186" s="445">
        <f t="shared" si="140"/>
        <v>1.008</v>
      </c>
      <c r="Q186" s="440">
        <f t="shared" si="124"/>
        <v>289.29086647600002</v>
      </c>
      <c r="R186" s="134">
        <f t="shared" si="125"/>
        <v>0</v>
      </c>
      <c r="S186" s="134">
        <f t="shared" si="126"/>
        <v>0</v>
      </c>
      <c r="T186" s="134">
        <f t="shared" si="127"/>
        <v>289.29086647600002</v>
      </c>
      <c r="U186" s="1069">
        <f t="shared" si="128"/>
        <v>291.60519340780803</v>
      </c>
      <c r="V186" s="134">
        <f t="shared" si="142"/>
        <v>592.46769454284799</v>
      </c>
      <c r="W186" s="100">
        <f t="shared" si="141"/>
        <v>0</v>
      </c>
      <c r="X186" s="100">
        <f t="shared" si="141"/>
        <v>0</v>
      </c>
      <c r="Y186" s="100">
        <f t="shared" si="141"/>
        <v>262.99169679636367</v>
      </c>
      <c r="Z186" s="151">
        <f t="shared" si="141"/>
        <v>525.98339359272734</v>
      </c>
      <c r="AA186" s="448">
        <f t="shared" si="129"/>
        <v>0</v>
      </c>
      <c r="AB186" s="448">
        <f t="shared" si="130"/>
        <v>0</v>
      </c>
      <c r="AC186" s="448">
        <f t="shared" si="131"/>
        <v>262.99169679636367</v>
      </c>
      <c r="AD186" s="448">
        <f t="shared" si="132"/>
        <v>530.19126074146914</v>
      </c>
      <c r="AE186" s="285"/>
      <c r="AF186" s="100">
        <f t="shared" si="133"/>
        <v>0</v>
      </c>
      <c r="AG186" s="100">
        <f t="shared" si="134"/>
        <v>0</v>
      </c>
      <c r="AH186" s="100">
        <f t="shared" si="135"/>
        <v>28666.094950803636</v>
      </c>
      <c r="AI186" s="151">
        <f t="shared" si="136"/>
        <v>28365.232449668594</v>
      </c>
      <c r="AJ186" s="100">
        <f t="shared" si="143"/>
        <v>0</v>
      </c>
      <c r="AK186" s="100">
        <f t="shared" si="144"/>
        <v>0</v>
      </c>
      <c r="AL186" s="100">
        <f t="shared" si="137"/>
        <v>1294.9711150252945</v>
      </c>
      <c r="AM186" s="151">
        <f t="shared" si="138"/>
        <v>1551.3396289295383</v>
      </c>
      <c r="AN186" s="100">
        <f t="shared" si="145"/>
        <v>2898.1095885558443</v>
      </c>
      <c r="AO186" s="100">
        <f t="shared" si="146"/>
        <v>3490.5772830986925</v>
      </c>
      <c r="AP186" s="100">
        <f t="shared" si="147"/>
        <v>0</v>
      </c>
      <c r="AQ186" s="100">
        <f t="shared" si="148"/>
        <v>3375.3882327564356</v>
      </c>
      <c r="AR186" s="100">
        <f t="shared" si="149"/>
        <v>115.18905034225686</v>
      </c>
      <c r="AS186" s="100">
        <f t="shared" si="139"/>
        <v>0</v>
      </c>
    </row>
    <row r="187" spans="1:45" s="228" customFormat="1" ht="13.5" thickBot="1">
      <c r="A187" s="1393" t="s">
        <v>1225</v>
      </c>
      <c r="B187" s="683" t="s">
        <v>1134</v>
      </c>
      <c r="C187" s="684">
        <v>599.03325030000008</v>
      </c>
      <c r="D187" s="685">
        <v>42186</v>
      </c>
      <c r="E187" s="691">
        <v>34</v>
      </c>
      <c r="F187" s="282" t="s">
        <v>876</v>
      </c>
      <c r="G187" s="687"/>
      <c r="H187" s="1310" t="s">
        <v>638</v>
      </c>
      <c r="I187" s="137">
        <f t="shared" si="113"/>
        <v>30</v>
      </c>
      <c r="J187" s="223">
        <f t="shared" si="150"/>
        <v>0.96699999999999997</v>
      </c>
      <c r="K187" s="223">
        <f t="shared" si="151"/>
        <v>3.3000000000000002E-2</v>
      </c>
      <c r="L187" s="223">
        <f t="shared" si="152"/>
        <v>0</v>
      </c>
      <c r="M187" s="445">
        <f t="shared" si="140"/>
        <v>0</v>
      </c>
      <c r="N187" s="445">
        <f t="shared" si="140"/>
        <v>0</v>
      </c>
      <c r="O187" s="445">
        <f t="shared" si="140"/>
        <v>1</v>
      </c>
      <c r="P187" s="445">
        <f t="shared" si="140"/>
        <v>1.008</v>
      </c>
      <c r="Q187" s="440">
        <f t="shared" si="124"/>
        <v>5.9903325030000012</v>
      </c>
      <c r="R187" s="134">
        <f t="shared" si="125"/>
        <v>0</v>
      </c>
      <c r="S187" s="134">
        <f t="shared" si="126"/>
        <v>0</v>
      </c>
      <c r="T187" s="134">
        <f t="shared" si="127"/>
        <v>5.9903325030000012</v>
      </c>
      <c r="U187" s="1069">
        <f t="shared" si="128"/>
        <v>6.0382551630240009</v>
      </c>
      <c r="V187" s="134">
        <f t="shared" si="142"/>
        <v>12.268200966144001</v>
      </c>
      <c r="W187" s="100">
        <f t="shared" si="141"/>
        <v>0</v>
      </c>
      <c r="X187" s="100">
        <f t="shared" si="141"/>
        <v>0</v>
      </c>
      <c r="Y187" s="100">
        <f t="shared" si="141"/>
        <v>9.983887505000002</v>
      </c>
      <c r="Z187" s="151">
        <f t="shared" si="141"/>
        <v>19.967775010000004</v>
      </c>
      <c r="AA187" s="448">
        <f t="shared" si="129"/>
        <v>0</v>
      </c>
      <c r="AB187" s="448">
        <f t="shared" si="130"/>
        <v>0</v>
      </c>
      <c r="AC187" s="448">
        <f t="shared" si="131"/>
        <v>9.983887505000002</v>
      </c>
      <c r="AD187" s="448">
        <f t="shared" si="132"/>
        <v>20.127517210080004</v>
      </c>
      <c r="AE187" s="285"/>
      <c r="AF187" s="100">
        <f t="shared" si="133"/>
        <v>0</v>
      </c>
      <c r="AG187" s="100">
        <f t="shared" si="134"/>
        <v>0</v>
      </c>
      <c r="AH187" s="100">
        <f t="shared" si="135"/>
        <v>589.04936279500009</v>
      </c>
      <c r="AI187" s="151">
        <f t="shared" si="136"/>
        <v>573.63424048728007</v>
      </c>
      <c r="AJ187" s="100">
        <f t="shared" si="143"/>
        <v>0</v>
      </c>
      <c r="AK187" s="100">
        <f t="shared" si="144"/>
        <v>0</v>
      </c>
      <c r="AL187" s="100">
        <f t="shared" si="137"/>
        <v>31.189664565620003</v>
      </c>
      <c r="AM187" s="151">
        <f t="shared" si="138"/>
        <v>40.778349867622083</v>
      </c>
      <c r="AN187" s="100">
        <f t="shared" si="145"/>
        <v>73.215601015866866</v>
      </c>
      <c r="AO187" s="100">
        <f t="shared" si="146"/>
        <v>85.483801982010874</v>
      </c>
      <c r="AP187" s="100">
        <f t="shared" si="147"/>
        <v>0</v>
      </c>
      <c r="AQ187" s="100">
        <f t="shared" si="148"/>
        <v>82.662836516604514</v>
      </c>
      <c r="AR187" s="100">
        <f t="shared" si="149"/>
        <v>2.820965465406359</v>
      </c>
      <c r="AS187" s="100">
        <f t="shared" si="139"/>
        <v>0</v>
      </c>
    </row>
    <row r="188" spans="1:45" s="228" customFormat="1" ht="13.5" thickTop="1">
      <c r="A188" s="692"/>
      <c r="B188" s="693"/>
      <c r="C188" s="694"/>
      <c r="D188" s="695"/>
      <c r="E188" s="696"/>
      <c r="F188" s="102"/>
      <c r="G188" s="697"/>
      <c r="H188" s="243"/>
      <c r="K188" s="81"/>
      <c r="O188" s="81"/>
      <c r="R188" s="81"/>
      <c r="U188" s="81"/>
      <c r="AH188" s="244"/>
      <c r="AI188" s="244"/>
      <c r="AJ188" s="244"/>
      <c r="AK188" s="244"/>
      <c r="AL188" s="244"/>
      <c r="AM188" s="244"/>
      <c r="AN188" s="244"/>
      <c r="AO188" s="438"/>
      <c r="AP188" s="297">
        <f>SUM(AP60:AP187)</f>
        <v>10162146.892523961</v>
      </c>
      <c r="AQ188" s="297">
        <f>SUM(AQ60:AQ187)</f>
        <v>31413700.084869973</v>
      </c>
      <c r="AR188" s="297">
        <f>SUM(AR60:AR187)</f>
        <v>1418824.1471085839</v>
      </c>
      <c r="AS188" s="297">
        <f>SUM(AS60:AS187)</f>
        <v>4646371.5271135485</v>
      </c>
    </row>
    <row r="189" spans="1:45" s="228" customFormat="1">
      <c r="A189" s="692"/>
      <c r="B189" s="693"/>
      <c r="C189" s="694"/>
      <c r="D189" s="695"/>
      <c r="E189" s="696"/>
      <c r="F189" s="102"/>
      <c r="G189" s="697"/>
      <c r="H189" s="243"/>
      <c r="K189" s="81"/>
      <c r="O189" s="81"/>
      <c r="R189" s="81"/>
      <c r="U189" s="81"/>
      <c r="AH189" s="244"/>
      <c r="AI189" s="244"/>
      <c r="AJ189" s="244"/>
      <c r="AK189" s="244"/>
      <c r="AL189" s="244"/>
      <c r="AM189" s="244"/>
      <c r="AN189" s="244"/>
      <c r="AO189" s="438"/>
      <c r="AP189" s="437"/>
      <c r="AQ189" s="81"/>
      <c r="AR189" s="81"/>
    </row>
    <row r="190" spans="1:45" s="49" customFormat="1">
      <c r="A190" s="169" t="s">
        <v>588</v>
      </c>
      <c r="B190" s="136"/>
      <c r="C190" s="136"/>
      <c r="D190" s="136"/>
      <c r="E190" s="48"/>
      <c r="F190" s="72"/>
      <c r="I190" s="72"/>
      <c r="L190" s="72"/>
      <c r="AD190" s="170"/>
      <c r="AM190" s="879"/>
      <c r="AN190" s="251"/>
    </row>
    <row r="191" spans="1:45" s="49" customFormat="1">
      <c r="A191" s="169" t="s">
        <v>491</v>
      </c>
      <c r="B191" s="135" t="s">
        <v>555</v>
      </c>
      <c r="C191" s="135" t="s">
        <v>556</v>
      </c>
      <c r="D191" s="135" t="s">
        <v>557</v>
      </c>
      <c r="E191" s="46" t="s">
        <v>144</v>
      </c>
      <c r="F191" s="72"/>
      <c r="I191" s="72"/>
      <c r="L191" s="77"/>
      <c r="M191" s="77"/>
      <c r="N191" s="77"/>
      <c r="AD191" s="170"/>
      <c r="AM191" s="879"/>
      <c r="AN191" s="251"/>
    </row>
    <row r="192" spans="1:45" s="49" customFormat="1">
      <c r="A192" s="1303"/>
      <c r="B192" s="1304"/>
      <c r="C192" s="1304"/>
      <c r="D192" s="451">
        <f>IF(ISNUMBER(SEARCH("Connection",A192)),0,0.598)</f>
        <v>0.59799999999999998</v>
      </c>
      <c r="E192" s="1308"/>
      <c r="F192" s="72"/>
      <c r="I192" s="72"/>
      <c r="L192" s="77"/>
      <c r="M192" s="77"/>
      <c r="N192" s="77"/>
      <c r="AD192" s="170"/>
      <c r="AM192" s="879"/>
      <c r="AN192" s="251"/>
      <c r="AP192" s="1266"/>
    </row>
    <row r="193" spans="1:44" s="49" customFormat="1" ht="13.5" thickBot="1">
      <c r="A193" s="1305"/>
      <c r="B193" s="1306"/>
      <c r="C193" s="1307"/>
      <c r="D193" s="449">
        <f t="shared" ref="D193" si="153">IF(ISNUMBER(SEARCH("Connection",A193)),0,0.598)</f>
        <v>0.59799999999999998</v>
      </c>
      <c r="E193" s="1309"/>
      <c r="F193" s="72"/>
      <c r="I193" s="72"/>
      <c r="L193" s="72"/>
      <c r="AD193" s="170"/>
      <c r="AM193" s="253"/>
      <c r="AN193" s="253"/>
    </row>
    <row r="194" spans="1:44" s="49" customFormat="1" ht="13.5" thickTop="1">
      <c r="A194" s="171" t="s">
        <v>15</v>
      </c>
      <c r="B194" s="327"/>
      <c r="C194" s="310">
        <f>SUMPRODUCT($B192:$B193,C192:C193)</f>
        <v>0</v>
      </c>
      <c r="D194" s="310">
        <f>SUMPRODUCT($B192:$B193,D192:D193)</f>
        <v>0</v>
      </c>
      <c r="E194" s="328"/>
      <c r="F194" s="72"/>
      <c r="I194" s="72"/>
      <c r="L194" s="72"/>
      <c r="N194" s="77"/>
      <c r="AD194" s="170"/>
      <c r="AM194" s="253"/>
      <c r="AN194" s="253"/>
    </row>
    <row r="195" spans="1:44" s="102" customFormat="1">
      <c r="A195" s="33"/>
      <c r="B195" s="329"/>
      <c r="C195" s="64"/>
      <c r="K195" s="72"/>
      <c r="O195" s="72"/>
      <c r="R195" s="72"/>
      <c r="U195" s="72"/>
      <c r="AM195" s="314"/>
      <c r="AN195" s="251"/>
      <c r="AP195" s="81"/>
      <c r="AQ195" s="81"/>
      <c r="AR195" s="81"/>
    </row>
    <row r="196" spans="1:44" s="102" customFormat="1">
      <c r="A196" s="138" t="s">
        <v>976</v>
      </c>
      <c r="B196" s="136"/>
      <c r="C196" s="136"/>
      <c r="D196" s="136"/>
      <c r="E196" s="75"/>
      <c r="F196" s="72"/>
      <c r="K196" s="72"/>
      <c r="O196" s="72"/>
      <c r="R196" s="72"/>
      <c r="U196" s="72"/>
      <c r="AM196" s="251"/>
      <c r="AN196" s="251"/>
    </row>
    <row r="197" spans="1:44" s="102" customFormat="1">
      <c r="A197" s="175"/>
      <c r="B197" s="870" t="s">
        <v>560</v>
      </c>
      <c r="C197" s="441" t="s">
        <v>701</v>
      </c>
      <c r="D197" s="870" t="s">
        <v>517</v>
      </c>
      <c r="E197" s="870" t="s">
        <v>496</v>
      </c>
      <c r="F197" s="108"/>
      <c r="K197" s="72"/>
      <c r="L197" s="874"/>
      <c r="M197" s="874"/>
      <c r="N197" s="874"/>
      <c r="S197" s="1432"/>
      <c r="T197" s="1432"/>
      <c r="U197" s="1432"/>
      <c r="V197" s="1432"/>
      <c r="W197" s="1432"/>
      <c r="X197" s="1432"/>
      <c r="Y197" s="1432"/>
      <c r="AM197" s="251"/>
      <c r="AN197" s="251"/>
    </row>
    <row r="198" spans="1:44" s="108" customFormat="1">
      <c r="A198" s="173" t="s">
        <v>696</v>
      </c>
      <c r="B198" s="705">
        <f>AP188</f>
        <v>10162146.892523961</v>
      </c>
      <c r="C198" s="287">
        <f>AQ188</f>
        <v>31413700.084869973</v>
      </c>
      <c r="D198" s="705">
        <f>AR188</f>
        <v>1418824.1471085839</v>
      </c>
      <c r="E198" s="706">
        <f>AS188</f>
        <v>4646371.5271135485</v>
      </c>
      <c r="F198" s="103"/>
      <c r="K198" s="76"/>
      <c r="L198" s="324"/>
      <c r="M198" s="324"/>
      <c r="N198" s="324"/>
      <c r="O198" s="324"/>
      <c r="P198" s="324"/>
      <c r="Q198" s="324"/>
      <c r="R198" s="324"/>
      <c r="S198" s="324"/>
      <c r="T198" s="324"/>
      <c r="U198" s="324"/>
      <c r="V198" s="324"/>
      <c r="W198" s="324"/>
      <c r="AM198" s="326"/>
      <c r="AN198" s="313"/>
    </row>
    <row r="199" spans="1:44" s="108" customFormat="1">
      <c r="A199" s="173" t="s">
        <v>681</v>
      </c>
      <c r="B199" s="452">
        <f>C194*(Parameters!$B$68+Parameters!$D$68)</f>
        <v>0</v>
      </c>
      <c r="C199" s="235"/>
      <c r="D199" s="576">
        <f>C194*Parameters!C68</f>
        <v>0</v>
      </c>
      <c r="E199" s="455">
        <f>D194</f>
        <v>0</v>
      </c>
      <c r="F199" s="104"/>
      <c r="K199" s="76"/>
      <c r="L199" s="324"/>
      <c r="M199" s="324"/>
      <c r="N199" s="324"/>
      <c r="O199" s="324"/>
      <c r="P199" s="324"/>
      <c r="Q199" s="324"/>
      <c r="R199" s="324"/>
      <c r="S199" s="324"/>
      <c r="T199" s="324"/>
      <c r="U199" s="324"/>
      <c r="V199" s="324"/>
      <c r="W199" s="324"/>
      <c r="AM199" s="326"/>
      <c r="AN199" s="313"/>
    </row>
    <row r="200" spans="1:44" s="108" customFormat="1">
      <c r="A200" s="173" t="s">
        <v>682</v>
      </c>
      <c r="B200" s="452">
        <f>B199*(1+B16)</f>
        <v>0</v>
      </c>
      <c r="C200" s="235"/>
      <c r="D200" s="454">
        <f>D199*(1+B16)</f>
        <v>0</v>
      </c>
      <c r="E200" s="455">
        <f>E199*(1+B16)</f>
        <v>0</v>
      </c>
      <c r="F200" s="104"/>
      <c r="K200" s="76"/>
      <c r="L200" s="324"/>
      <c r="M200" s="324"/>
      <c r="N200" s="324"/>
      <c r="O200" s="324"/>
      <c r="P200" s="324"/>
      <c r="Q200" s="324"/>
      <c r="R200" s="324"/>
      <c r="S200" s="324"/>
      <c r="T200" s="324"/>
      <c r="U200" s="324"/>
      <c r="V200" s="324"/>
      <c r="W200" s="324"/>
      <c r="AM200" s="326"/>
      <c r="AN200" s="313"/>
    </row>
    <row r="201" spans="1:44" s="108" customFormat="1">
      <c r="A201" s="173" t="s">
        <v>711</v>
      </c>
      <c r="B201" s="577">
        <f>B198-B200</f>
        <v>10162146.892523961</v>
      </c>
      <c r="C201" s="151">
        <f>C198</f>
        <v>31413700.084869973</v>
      </c>
      <c r="D201" s="577">
        <f>D198-D200</f>
        <v>1418824.1471085839</v>
      </c>
      <c r="E201" s="577">
        <f>E198-E200</f>
        <v>4646371.5271135485</v>
      </c>
      <c r="K201" s="76"/>
      <c r="L201" s="324"/>
      <c r="M201" s="324"/>
      <c r="N201" s="324"/>
      <c r="O201" s="324"/>
      <c r="P201" s="324"/>
      <c r="Q201" s="324"/>
      <c r="R201" s="324"/>
      <c r="S201" s="324"/>
      <c r="T201" s="324"/>
      <c r="U201" s="324"/>
      <c r="V201" s="324"/>
      <c r="W201" s="324"/>
      <c r="AM201" s="326"/>
      <c r="AN201" s="313"/>
    </row>
    <row r="202" spans="1:44" s="601" customFormat="1">
      <c r="A202" s="599"/>
      <c r="B202" s="600"/>
      <c r="C202" s="600"/>
      <c r="D202" s="600"/>
      <c r="E202" s="600"/>
      <c r="L202" s="600"/>
      <c r="M202" s="600"/>
      <c r="N202" s="600"/>
      <c r="O202" s="600"/>
      <c r="P202" s="600"/>
      <c r="Q202" s="600"/>
      <c r="R202" s="600"/>
      <c r="S202" s="600"/>
      <c r="T202" s="600"/>
      <c r="U202" s="600"/>
      <c r="V202" s="600"/>
      <c r="W202" s="600"/>
      <c r="AM202" s="602"/>
      <c r="AN202" s="603"/>
    </row>
    <row r="203" spans="1:44" s="102" customFormat="1">
      <c r="A203" s="1430" t="s">
        <v>716</v>
      </c>
      <c r="B203" s="1431"/>
      <c r="C203" s="1431"/>
      <c r="D203" s="112"/>
      <c r="E203" s="112"/>
      <c r="K203" s="72"/>
      <c r="L203" s="112"/>
      <c r="M203" s="112"/>
      <c r="N203" s="112"/>
      <c r="O203" s="112"/>
      <c r="P203" s="112"/>
      <c r="Q203" s="112"/>
      <c r="R203" s="112"/>
      <c r="S203" s="112"/>
      <c r="T203" s="112"/>
      <c r="U203" s="112"/>
      <c r="V203" s="112"/>
      <c r="W203" s="112"/>
      <c r="AM203" s="314"/>
      <c r="AN203" s="251"/>
    </row>
    <row r="204" spans="1:44" s="102" customFormat="1">
      <c r="A204" s="905"/>
      <c r="B204" s="597" t="s">
        <v>560</v>
      </c>
      <c r="C204" s="598" t="s">
        <v>701</v>
      </c>
      <c r="K204" s="72"/>
      <c r="O204" s="72"/>
      <c r="R204" s="72"/>
      <c r="U204" s="72"/>
      <c r="AM204" s="314"/>
      <c r="AN204" s="251"/>
      <c r="AP204" s="72"/>
      <c r="AQ204" s="72"/>
      <c r="AR204" s="72"/>
    </row>
    <row r="205" spans="1:44" s="102" customFormat="1">
      <c r="A205" s="906" t="s">
        <v>715</v>
      </c>
      <c r="B205" s="707">
        <f>B201</f>
        <v>10162146.892523961</v>
      </c>
      <c r="C205" s="708">
        <f>C201</f>
        <v>31413700.084869973</v>
      </c>
      <c r="K205" s="72"/>
      <c r="O205" s="72"/>
      <c r="R205" s="72"/>
      <c r="U205" s="72"/>
      <c r="AM205" s="314"/>
      <c r="AN205" s="251"/>
      <c r="AP205" s="81"/>
      <c r="AQ205" s="81"/>
      <c r="AR205" s="81"/>
    </row>
    <row r="206" spans="1:44" s="102" customFormat="1">
      <c r="A206" s="907" t="s">
        <v>913</v>
      </c>
      <c r="B206" s="709">
        <f>Parameters!B68/(Parameters!B68+Parameters!D68)</f>
        <v>0.94519131334022743</v>
      </c>
      <c r="C206" s="710">
        <v>1</v>
      </c>
      <c r="K206" s="72"/>
      <c r="O206" s="72"/>
      <c r="R206" s="72"/>
      <c r="U206" s="72"/>
      <c r="AM206" s="314"/>
      <c r="AN206" s="251"/>
      <c r="AP206" s="81"/>
      <c r="AQ206" s="81"/>
      <c r="AR206" s="81"/>
    </row>
    <row r="207" spans="1:44" s="102" customFormat="1">
      <c r="A207" s="168" t="s">
        <v>914</v>
      </c>
      <c r="B207" s="711">
        <f>1-B206</f>
        <v>5.4808686659772565E-2</v>
      </c>
      <c r="C207" s="712">
        <v>0</v>
      </c>
      <c r="K207" s="72"/>
      <c r="O207" s="72"/>
      <c r="R207" s="72"/>
      <c r="U207" s="72"/>
      <c r="AM207" s="314"/>
      <c r="AN207" s="251"/>
      <c r="AP207" s="81"/>
      <c r="AQ207" s="81"/>
      <c r="AR207" s="81"/>
    </row>
    <row r="208" spans="1:44" s="102" customFormat="1">
      <c r="A208" s="906" t="s">
        <v>915</v>
      </c>
      <c r="B208" s="713">
        <f>B205*B206</f>
        <v>9605172.9677010346</v>
      </c>
      <c r="C208" s="713">
        <f>C205*C206</f>
        <v>31413700.084869973</v>
      </c>
      <c r="K208" s="72"/>
      <c r="O208" s="72"/>
      <c r="R208" s="72"/>
      <c r="U208" s="72"/>
      <c r="AM208" s="314"/>
      <c r="AN208" s="251"/>
      <c r="AP208" s="81"/>
      <c r="AQ208" s="81"/>
      <c r="AR208" s="81"/>
    </row>
    <row r="209" spans="1:45" s="102" customFormat="1">
      <c r="A209" s="906" t="s">
        <v>916</v>
      </c>
      <c r="B209" s="713">
        <f>B205*B207</f>
        <v>556973.92482292722</v>
      </c>
      <c r="C209" s="713">
        <f>C205*C207</f>
        <v>0</v>
      </c>
      <c r="K209" s="72"/>
      <c r="O209" s="72"/>
      <c r="R209" s="72"/>
      <c r="U209" s="72"/>
      <c r="AM209" s="314"/>
      <c r="AN209" s="251"/>
      <c r="AP209" s="81"/>
      <c r="AQ209" s="81"/>
      <c r="AR209" s="81"/>
    </row>
    <row r="210" spans="1:45" s="102" customFormat="1">
      <c r="A210" s="174"/>
      <c r="B210" s="228"/>
      <c r="C210" s="453"/>
      <c r="D210" s="453"/>
      <c r="K210" s="72"/>
      <c r="L210" s="324"/>
      <c r="M210" s="324"/>
      <c r="N210" s="324"/>
      <c r="O210" s="324"/>
      <c r="P210" s="324"/>
      <c r="Q210" s="324"/>
      <c r="R210" s="324"/>
      <c r="S210" s="324"/>
      <c r="T210" s="324"/>
      <c r="U210" s="324"/>
      <c r="V210" s="324"/>
      <c r="W210" s="324"/>
      <c r="AM210" s="314"/>
      <c r="AN210" s="251"/>
    </row>
    <row r="211" spans="1:45" s="102" customFormat="1">
      <c r="A211" s="604" t="s">
        <v>910</v>
      </c>
      <c r="B211" s="605"/>
      <c r="C211" s="72"/>
      <c r="D211" s="104"/>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253"/>
      <c r="AN211" s="253"/>
      <c r="AO211" s="49"/>
      <c r="AP211" s="49"/>
      <c r="AQ211" s="49"/>
      <c r="AR211" s="49"/>
      <c r="AS211" s="49"/>
    </row>
    <row r="212" spans="1:45" s="102" customFormat="1">
      <c r="A212" s="608" t="s">
        <v>1015</v>
      </c>
      <c r="B212" s="606">
        <f>B208+C208</f>
        <v>41018873.052571006</v>
      </c>
      <c r="C212" s="436"/>
      <c r="D212" s="103"/>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253"/>
      <c r="AN212" s="253"/>
      <c r="AO212" s="49"/>
      <c r="AP212" s="247"/>
      <c r="AQ212" s="247"/>
      <c r="AR212" s="247"/>
      <c r="AS212" s="49"/>
    </row>
    <row r="213" spans="1:45" s="102" customFormat="1">
      <c r="A213" s="608" t="s">
        <v>1016</v>
      </c>
      <c r="B213" s="606">
        <f>B209+C209</f>
        <v>556973.92482292722</v>
      </c>
      <c r="C213" s="76"/>
      <c r="D213" s="103"/>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253"/>
      <c r="AN213" s="253"/>
      <c r="AO213" s="49"/>
      <c r="AP213" s="247"/>
      <c r="AQ213" s="247"/>
      <c r="AR213" s="247"/>
      <c r="AS213" s="49"/>
    </row>
    <row r="214" spans="1:45" s="102" customFormat="1">
      <c r="A214" s="608" t="s">
        <v>1017</v>
      </c>
      <c r="B214" s="607">
        <f>D201</f>
        <v>1418824.1471085839</v>
      </c>
      <c r="C214" s="76"/>
      <c r="D214" s="103"/>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253"/>
      <c r="AN214" s="253"/>
      <c r="AO214" s="49"/>
      <c r="AP214" s="247"/>
      <c r="AQ214" s="247"/>
      <c r="AR214" s="247"/>
      <c r="AS214" s="49"/>
    </row>
    <row r="215" spans="1:45" s="102" customFormat="1">
      <c r="A215" s="608" t="s">
        <v>1018</v>
      </c>
      <c r="B215" s="607">
        <f>E201</f>
        <v>4646371.5271135485</v>
      </c>
      <c r="C215" s="76"/>
      <c r="D215" s="103"/>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253"/>
      <c r="AN215" s="253"/>
      <c r="AO215" s="49"/>
      <c r="AP215" s="247"/>
      <c r="AQ215" s="247"/>
      <c r="AR215" s="247"/>
      <c r="AS215" s="49"/>
    </row>
    <row r="216" spans="1:45" s="102" customFormat="1">
      <c r="A216" s="174"/>
      <c r="B216" s="228"/>
      <c r="C216" s="453"/>
      <c r="D216" s="453"/>
      <c r="K216" s="72"/>
      <c r="L216" s="324"/>
      <c r="M216" s="324"/>
      <c r="N216" s="324"/>
      <c r="O216" s="324"/>
      <c r="P216" s="324"/>
      <c r="Q216" s="324"/>
      <c r="R216" s="324"/>
      <c r="S216" s="324"/>
      <c r="T216" s="324"/>
      <c r="U216" s="324"/>
      <c r="V216" s="324"/>
      <c r="W216" s="324"/>
      <c r="AM216" s="314"/>
      <c r="AN216" s="251"/>
    </row>
    <row r="217" spans="1:45" s="102" customFormat="1">
      <c r="A217" s="412" t="s">
        <v>1047</v>
      </c>
      <c r="B217" s="48"/>
      <c r="C217" s="410"/>
      <c r="D217" s="410"/>
      <c r="E217" s="410"/>
      <c r="F217" s="410"/>
      <c r="G217" s="410"/>
      <c r="H217" s="410"/>
      <c r="I217" s="410"/>
      <c r="J217" s="410"/>
      <c r="K217" s="410"/>
      <c r="L217" s="410"/>
      <c r="M217" s="410"/>
      <c r="N217" s="410"/>
      <c r="O217" s="410"/>
      <c r="P217" s="410"/>
      <c r="Q217" s="410"/>
      <c r="R217" s="410"/>
      <c r="S217" s="410"/>
      <c r="T217" s="410"/>
      <c r="U217" s="410"/>
      <c r="V217" s="410"/>
      <c r="W217" s="410"/>
      <c r="X217" s="410"/>
      <c r="Y217" s="410"/>
      <c r="Z217" s="410"/>
      <c r="AA217" s="410"/>
      <c r="AB217" s="410"/>
      <c r="AC217" s="410"/>
      <c r="AD217" s="410"/>
      <c r="AE217" s="410"/>
      <c r="AF217" s="410"/>
      <c r="AG217" s="410"/>
      <c r="AH217" s="410"/>
      <c r="AI217" s="410"/>
      <c r="AJ217" s="410"/>
      <c r="AK217" s="410"/>
      <c r="AL217" s="410"/>
      <c r="AM217" s="898"/>
      <c r="AN217" s="898"/>
      <c r="AO217" s="410"/>
      <c r="AP217" s="72"/>
      <c r="AQ217" s="72"/>
      <c r="AR217" s="72"/>
    </row>
    <row r="218" spans="1:45" s="76" customFormat="1">
      <c r="A218" s="608" t="s">
        <v>1048</v>
      </c>
      <c r="B218" s="1070">
        <f>Parameters!B84</f>
        <v>854760619.38343453</v>
      </c>
      <c r="C218" s="437"/>
      <c r="D218" s="103"/>
      <c r="E218" s="103"/>
      <c r="F218" s="81"/>
      <c r="G218" s="241"/>
      <c r="H218" s="81"/>
      <c r="I218" s="81"/>
      <c r="AM218" s="255"/>
      <c r="AN218" s="256"/>
      <c r="AP218" s="81"/>
      <c r="AQ218" s="81"/>
      <c r="AR218" s="81"/>
    </row>
    <row r="219" spans="1:45" s="108" customFormat="1">
      <c r="A219" s="608" t="s">
        <v>1049</v>
      </c>
      <c r="B219" s="384">
        <f>Parameters!D83</f>
        <v>48526232.305103332</v>
      </c>
      <c r="D219" s="76"/>
      <c r="E219" s="102"/>
      <c r="F219" s="81"/>
      <c r="G219" s="241"/>
      <c r="H219" s="81"/>
      <c r="I219" s="81"/>
      <c r="J219" s="76"/>
      <c r="K219" s="76"/>
      <c r="O219" s="76"/>
      <c r="R219" s="76"/>
      <c r="U219" s="76"/>
      <c r="AM219" s="326"/>
      <c r="AN219" s="313"/>
      <c r="AP219" s="81"/>
      <c r="AQ219" s="81"/>
      <c r="AR219" s="81"/>
    </row>
    <row r="220" spans="1:45" s="108" customFormat="1">
      <c r="A220" s="608" t="s">
        <v>1050</v>
      </c>
      <c r="B220" s="384">
        <f>Parameters!C83</f>
        <v>31110941.808018349</v>
      </c>
      <c r="D220" s="76" t="s">
        <v>513</v>
      </c>
      <c r="F220" s="609"/>
      <c r="G220" s="609"/>
      <c r="H220" s="609"/>
      <c r="I220" s="81"/>
      <c r="J220" s="76"/>
      <c r="K220" s="76"/>
      <c r="O220" s="76"/>
      <c r="R220" s="76"/>
      <c r="U220" s="76"/>
      <c r="AM220" s="326"/>
      <c r="AN220" s="313"/>
      <c r="AP220" s="81"/>
      <c r="AQ220" s="81"/>
      <c r="AR220" s="81"/>
    </row>
    <row r="221" spans="1:45" s="49" customFormat="1">
      <c r="A221" s="608" t="s">
        <v>1051</v>
      </c>
      <c r="B221" s="1071">
        <f>Parameters!F83</f>
        <v>77307604.879740357</v>
      </c>
      <c r="C221" s="108"/>
      <c r="D221" s="103"/>
      <c r="AM221" s="253"/>
      <c r="AN221" s="253"/>
      <c r="AP221" s="247"/>
      <c r="AQ221" s="247"/>
      <c r="AR221" s="247"/>
    </row>
    <row r="222" spans="1:45" s="49" customFormat="1">
      <c r="A222" s="130"/>
      <c r="B222" s="578"/>
      <c r="C222" s="76"/>
      <c r="D222" s="103"/>
      <c r="AM222" s="253"/>
      <c r="AN222" s="253"/>
      <c r="AP222" s="247"/>
      <c r="AQ222" s="247"/>
      <c r="AR222" s="247"/>
    </row>
    <row r="223" spans="1:45" s="102" customFormat="1">
      <c r="A223" s="169" t="s">
        <v>1052</v>
      </c>
      <c r="B223" s="32"/>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899"/>
      <c r="AN223" s="899"/>
      <c r="AO223" s="41"/>
    </row>
    <row r="224" spans="1:45" s="71" customFormat="1">
      <c r="A224" s="248" t="s">
        <v>911</v>
      </c>
      <c r="B224" s="140">
        <f>B212/B218</f>
        <v>4.798872587527394E-2</v>
      </c>
      <c r="C224" s="108"/>
      <c r="D224" s="552"/>
      <c r="E224" s="436"/>
      <c r="F224" s="436"/>
      <c r="G224" s="76"/>
      <c r="H224" s="76"/>
      <c r="I224" s="76"/>
      <c r="J224" s="76"/>
      <c r="K224" s="76"/>
      <c r="L224" s="76"/>
      <c r="M224" s="76"/>
      <c r="N224" s="76"/>
      <c r="O224" s="76"/>
      <c r="P224" s="76"/>
      <c r="Q224" s="76"/>
      <c r="R224" s="76"/>
      <c r="S224" s="76"/>
      <c r="T224" s="76"/>
      <c r="U224" s="76"/>
      <c r="V224" s="76"/>
      <c r="W224" s="76"/>
      <c r="X224" s="76"/>
      <c r="Y224" s="76"/>
      <c r="Z224" s="76"/>
      <c r="AA224" s="76"/>
      <c r="AB224" s="76"/>
      <c r="AC224" s="76"/>
      <c r="AD224" s="76"/>
      <c r="AE224" s="76"/>
      <c r="AF224" s="76"/>
      <c r="AG224" s="76"/>
      <c r="AH224" s="76"/>
      <c r="AI224" s="76"/>
      <c r="AJ224" s="76"/>
      <c r="AK224" s="76"/>
      <c r="AL224" s="76"/>
      <c r="AM224" s="256"/>
      <c r="AN224" s="256"/>
      <c r="AO224" s="76"/>
      <c r="AP224" s="76"/>
      <c r="AQ224" s="76"/>
      <c r="AR224" s="76"/>
      <c r="AS224" s="76"/>
    </row>
    <row r="225" spans="1:45" s="71" customFormat="1">
      <c r="A225" s="248" t="s">
        <v>912</v>
      </c>
      <c r="B225" s="140">
        <f>B213/B219</f>
        <v>1.147779043139008E-2</v>
      </c>
      <c r="C225" s="108"/>
      <c r="D225" s="552"/>
      <c r="E225" s="76"/>
      <c r="F225" s="76"/>
      <c r="G225" s="76"/>
      <c r="H225" s="76"/>
      <c r="I225" s="76"/>
      <c r="J225" s="76"/>
      <c r="K225" s="76"/>
      <c r="L225" s="76"/>
      <c r="M225" s="76"/>
      <c r="N225" s="76"/>
      <c r="O225" s="76"/>
      <c r="P225" s="76"/>
      <c r="Q225" s="76"/>
      <c r="R225" s="76"/>
      <c r="S225" s="76"/>
      <c r="T225" s="76"/>
      <c r="U225" s="76"/>
      <c r="V225" s="76"/>
      <c r="W225" s="76"/>
      <c r="X225" s="76"/>
      <c r="Y225" s="76"/>
      <c r="Z225" s="76"/>
      <c r="AA225" s="76"/>
      <c r="AB225" s="76"/>
      <c r="AC225" s="76"/>
      <c r="AD225" s="76"/>
      <c r="AE225" s="76"/>
      <c r="AF225" s="76"/>
      <c r="AG225" s="76"/>
      <c r="AH225" s="76"/>
      <c r="AI225" s="76"/>
      <c r="AJ225" s="76"/>
      <c r="AK225" s="76"/>
      <c r="AL225" s="76"/>
      <c r="AM225" s="256"/>
      <c r="AN225" s="256"/>
      <c r="AO225" s="76"/>
      <c r="AP225" s="76"/>
      <c r="AQ225" s="76"/>
      <c r="AR225" s="76"/>
      <c r="AS225" s="76"/>
    </row>
    <row r="226" spans="1:45" s="108" customFormat="1">
      <c r="A226" s="248" t="s">
        <v>515</v>
      </c>
      <c r="B226" s="140">
        <f>B214/B220</f>
        <v>4.5605310050205704E-2</v>
      </c>
      <c r="D226" s="76"/>
      <c r="AM226" s="313"/>
      <c r="AN226" s="313"/>
    </row>
    <row r="227" spans="1:45" s="108" customFormat="1">
      <c r="A227" s="249" t="s">
        <v>16</v>
      </c>
      <c r="B227" s="482">
        <f>B215/B221</f>
        <v>6.0102386231489641E-2</v>
      </c>
      <c r="C227" s="288"/>
      <c r="D227" s="483"/>
      <c r="E227" s="288"/>
      <c r="F227" s="288"/>
      <c r="G227" s="288"/>
      <c r="H227" s="288"/>
      <c r="I227" s="288"/>
      <c r="J227" s="288"/>
      <c r="K227" s="288"/>
      <c r="L227" s="288"/>
      <c r="M227" s="288"/>
      <c r="N227" s="288"/>
      <c r="O227" s="288"/>
      <c r="P227" s="288"/>
      <c r="Q227" s="288"/>
      <c r="R227" s="288"/>
      <c r="S227" s="288"/>
      <c r="T227" s="288"/>
      <c r="U227" s="288"/>
      <c r="V227" s="288"/>
      <c r="W227" s="288"/>
      <c r="X227" s="288"/>
      <c r="Y227" s="288"/>
      <c r="Z227" s="288"/>
      <c r="AA227" s="288"/>
      <c r="AB227" s="288"/>
      <c r="AC227" s="288"/>
      <c r="AD227" s="288"/>
      <c r="AE227" s="288"/>
      <c r="AF227" s="288"/>
      <c r="AG227" s="288"/>
      <c r="AH227" s="288"/>
      <c r="AI227" s="288"/>
      <c r="AJ227" s="288"/>
      <c r="AK227" s="288"/>
      <c r="AL227" s="288"/>
      <c r="AM227" s="484"/>
      <c r="AN227" s="484"/>
      <c r="AO227" s="288"/>
      <c r="AP227" s="288"/>
      <c r="AQ227" s="288"/>
      <c r="AR227" s="288"/>
      <c r="AS227" s="288"/>
    </row>
    <row r="228" spans="1:45">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52"/>
      <c r="AN228" s="252"/>
      <c r="AO228" s="22"/>
      <c r="AP228" s="22"/>
      <c r="AQ228" s="22"/>
      <c r="AR228" s="22"/>
      <c r="AS228" s="22"/>
    </row>
    <row r="229" spans="1:45">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52"/>
      <c r="AN229" s="252"/>
      <c r="AO229" s="22"/>
      <c r="AP229" s="22"/>
      <c r="AQ229" s="22"/>
      <c r="AR229" s="22"/>
      <c r="AS229" s="22"/>
    </row>
    <row r="230" spans="1:45" s="76" customFormat="1">
      <c r="A230"/>
      <c r="B230"/>
      <c r="C230"/>
      <c r="D230"/>
      <c r="AM230" s="256"/>
      <c r="AN230" s="256"/>
    </row>
    <row r="231" spans="1:45" s="76" customFormat="1">
      <c r="A231" s="28" t="s">
        <v>513</v>
      </c>
      <c r="B231"/>
      <c r="C231"/>
      <c r="D231"/>
      <c r="AM231" s="256"/>
      <c r="AN231" s="256"/>
    </row>
    <row r="232" spans="1:45">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52"/>
      <c r="AN232" s="252"/>
      <c r="AO232" s="22"/>
      <c r="AP232" s="22"/>
      <c r="AQ232" s="22"/>
      <c r="AR232" s="22"/>
      <c r="AS232" s="22"/>
    </row>
  </sheetData>
  <mergeCells count="10">
    <mergeCell ref="A203:C203"/>
    <mergeCell ref="S197:U197"/>
    <mergeCell ref="V197:Y197"/>
    <mergeCell ref="AJ57:AM57"/>
    <mergeCell ref="M57:P57"/>
    <mergeCell ref="J57:L57"/>
    <mergeCell ref="W57:Z57"/>
    <mergeCell ref="AA57:AD57"/>
    <mergeCell ref="AF57:AI57"/>
    <mergeCell ref="R57:U57"/>
  </mergeCells>
  <phoneticPr fontId="21" type="noConversion"/>
  <pageMargins left="0.23622047244094491" right="0.23622047244094491" top="0.74803149606299213" bottom="0.74803149606299213" header="0.31496062992125984" footer="0.31496062992125984"/>
  <pageSetup paperSize="8" scale="21" fitToWidth="2" orientation="landscape" r:id="rId1"/>
  <headerFooter alignWithMargins="0">
    <oddFooter>&amp;C&amp;A&amp;R&amp;P/&amp;N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45"/>
  <sheetViews>
    <sheetView showGridLines="0" zoomScale="70" zoomScaleNormal="70" zoomScaleSheetLayoutView="70" workbookViewId="0">
      <selection sqref="A1:E1"/>
    </sheetView>
  </sheetViews>
  <sheetFormatPr defaultRowHeight="12.75"/>
  <cols>
    <col min="1" max="1" width="62.85546875" style="101" customWidth="1"/>
    <col min="2" max="2" width="41.7109375" style="101" customWidth="1"/>
    <col min="3" max="3" width="36.140625" style="101" customWidth="1"/>
    <col min="4" max="4" width="28.42578125" style="101" customWidth="1"/>
    <col min="5" max="5" width="24" style="101" customWidth="1"/>
    <col min="6" max="6" width="21.85546875" style="101" customWidth="1"/>
    <col min="7" max="7" width="25.5703125" style="101" customWidth="1"/>
    <col min="8" max="8" width="25.140625" style="101" customWidth="1"/>
    <col min="9" max="9" width="25.28515625" style="101" customWidth="1"/>
    <col min="10" max="10" width="26.85546875" style="101" customWidth="1"/>
    <col min="11" max="11" width="27.42578125" style="101" customWidth="1"/>
    <col min="12" max="12" width="30.7109375" style="101" customWidth="1"/>
    <col min="13" max="13" width="30.28515625" style="101" customWidth="1"/>
    <col min="14" max="14" width="39.140625" style="101" customWidth="1"/>
    <col min="15" max="15" width="27.42578125" style="71" customWidth="1"/>
    <col min="16" max="16" width="32" style="101" customWidth="1"/>
    <col min="17" max="17" width="40.42578125" style="101" customWidth="1"/>
    <col min="18" max="18" width="28" style="101" customWidth="1"/>
    <col min="19" max="19" width="41.7109375" style="101" customWidth="1"/>
    <col min="20" max="20" width="11.42578125" style="101" customWidth="1"/>
    <col min="21" max="21" width="22.7109375" style="101" bestFit="1" customWidth="1"/>
    <col min="22" max="22" width="28.28515625" style="101" customWidth="1"/>
    <col min="23" max="16384" width="9.140625" style="21"/>
  </cols>
  <sheetData>
    <row r="1" spans="1:44" s="11" customFormat="1" ht="23.25" customHeight="1">
      <c r="A1" s="1444" t="s">
        <v>1005</v>
      </c>
      <c r="B1" s="1445"/>
      <c r="C1" s="1445"/>
      <c r="D1" s="1445"/>
      <c r="E1" s="1445"/>
      <c r="F1" s="68"/>
      <c r="G1" s="69"/>
      <c r="H1" s="68"/>
      <c r="I1" s="69"/>
      <c r="J1" s="407"/>
      <c r="K1" s="407"/>
      <c r="L1" s="408"/>
      <c r="M1" s="401"/>
      <c r="N1" s="401"/>
      <c r="O1" s="401"/>
      <c r="P1" s="401"/>
      <c r="Q1" s="401"/>
      <c r="R1" s="419"/>
      <c r="S1" s="426" t="s">
        <v>143</v>
      </c>
      <c r="T1" s="969"/>
      <c r="U1" s="63"/>
      <c r="V1" s="51"/>
    </row>
    <row r="2" spans="1:44" s="89" customFormat="1">
      <c r="A2" s="35"/>
      <c r="B2" s="22"/>
      <c r="C2" s="22"/>
      <c r="D2" s="22"/>
      <c r="E2" s="22"/>
      <c r="F2" s="22"/>
      <c r="G2" s="108"/>
      <c r="H2" s="108"/>
      <c r="I2" s="108"/>
      <c r="J2" s="108"/>
      <c r="K2" s="108"/>
      <c r="L2" s="22"/>
      <c r="M2" s="22"/>
      <c r="N2" s="108"/>
      <c r="O2" s="76"/>
      <c r="P2" s="108"/>
      <c r="Q2" s="108"/>
      <c r="R2" s="108"/>
      <c r="S2" s="108"/>
      <c r="T2" s="108"/>
      <c r="U2" s="80"/>
      <c r="V2" s="80"/>
    </row>
    <row r="3" spans="1:44" s="89" customFormat="1">
      <c r="A3" s="409" t="s">
        <v>13</v>
      </c>
      <c r="B3" s="410"/>
      <c r="C3" s="108"/>
      <c r="D3" s="108"/>
      <c r="E3" s="108"/>
      <c r="F3" s="108"/>
      <c r="G3" s="108"/>
      <c r="H3" s="108"/>
      <c r="I3" s="108"/>
      <c r="J3" s="108"/>
      <c r="K3" s="108"/>
      <c r="L3" s="108"/>
      <c r="M3" s="108"/>
      <c r="N3" s="108"/>
      <c r="O3" s="76"/>
      <c r="P3" s="108"/>
      <c r="Q3" s="108"/>
      <c r="R3" s="108"/>
      <c r="S3" s="108"/>
      <c r="T3" s="108"/>
      <c r="U3" s="80"/>
      <c r="V3" s="80"/>
    </row>
    <row r="4" spans="1:44" s="216" customFormat="1">
      <c r="A4" s="174" t="s">
        <v>562</v>
      </c>
      <c r="B4" s="579">
        <f>Parameters!B14</f>
        <v>5.8000000000000003E-2</v>
      </c>
      <c r="C4" s="216" t="s">
        <v>559</v>
      </c>
      <c r="K4" s="74"/>
      <c r="M4" s="74"/>
      <c r="P4" s="74"/>
      <c r="S4" s="74"/>
      <c r="AL4" s="74"/>
      <c r="AM4" s="74"/>
      <c r="AN4" s="74"/>
      <c r="AR4" s="219"/>
    </row>
    <row r="5" spans="1:44" s="89" customFormat="1">
      <c r="A5" s="124" t="s">
        <v>508</v>
      </c>
      <c r="B5" s="224">
        <f>Parameters!B15</f>
        <v>3.5999999999999997E-2</v>
      </c>
      <c r="C5" s="216" t="s">
        <v>687</v>
      </c>
      <c r="D5" s="108"/>
      <c r="E5" s="108"/>
      <c r="F5" s="108"/>
      <c r="G5" s="108"/>
      <c r="H5" s="108"/>
      <c r="I5" s="108"/>
      <c r="J5" s="108"/>
      <c r="K5" s="108"/>
      <c r="L5" s="108"/>
      <c r="M5" s="108"/>
      <c r="N5" s="108"/>
      <c r="O5" s="76"/>
      <c r="P5" s="108"/>
      <c r="Q5" s="108"/>
      <c r="R5" s="108"/>
      <c r="S5" s="108"/>
      <c r="T5" s="108"/>
      <c r="U5" s="80"/>
      <c r="V5" s="80"/>
    </row>
    <row r="6" spans="1:44" s="89" customFormat="1">
      <c r="A6" s="174" t="s">
        <v>581</v>
      </c>
      <c r="B6" s="224">
        <f>Parameters!B25</f>
        <v>0.01</v>
      </c>
      <c r="C6" s="216" t="s">
        <v>687</v>
      </c>
      <c r="D6" s="108"/>
      <c r="E6" s="108"/>
      <c r="F6" s="108"/>
      <c r="G6" s="108"/>
      <c r="H6" s="108"/>
      <c r="I6" s="108"/>
      <c r="U6" s="80"/>
      <c r="V6" s="80"/>
    </row>
    <row r="7" spans="1:44" s="89" customFormat="1">
      <c r="A7" s="124"/>
      <c r="B7" s="411"/>
      <c r="C7" s="108"/>
      <c r="U7" s="80"/>
      <c r="V7" s="80"/>
    </row>
    <row r="8" spans="1:44" s="89" customFormat="1">
      <c r="A8" s="409" t="s">
        <v>460</v>
      </c>
    </row>
    <row r="9" spans="1:44" s="89" customFormat="1">
      <c r="A9" s="160" t="s">
        <v>462</v>
      </c>
      <c r="B9" s="50" t="s">
        <v>456</v>
      </c>
      <c r="C9" s="217">
        <v>2013</v>
      </c>
      <c r="D9" s="218">
        <v>2014</v>
      </c>
      <c r="E9" s="218">
        <v>2015</v>
      </c>
      <c r="F9" s="1066">
        <v>2016</v>
      </c>
      <c r="G9" s="432"/>
      <c r="H9" s="432"/>
      <c r="I9" s="431"/>
    </row>
    <row r="10" spans="1:44" s="89" customFormat="1">
      <c r="A10" s="174">
        <v>2013</v>
      </c>
      <c r="B10" s="220">
        <f>Parameters!B62</f>
        <v>1.0229999999999999</v>
      </c>
      <c r="C10" s="150">
        <f>Parameters!O62</f>
        <v>1</v>
      </c>
      <c r="D10" s="150">
        <f>Parameters!P62</f>
        <v>1.028</v>
      </c>
      <c r="E10" s="150">
        <f>Parameters!Q62</f>
        <v>1.0382800000000001</v>
      </c>
      <c r="F10" s="1064">
        <f>Parameters!R62</f>
        <v>1.0465862400000001</v>
      </c>
      <c r="G10" s="432"/>
      <c r="H10" s="432"/>
      <c r="I10" s="431"/>
    </row>
    <row r="11" spans="1:44" s="89" customFormat="1">
      <c r="A11" s="161">
        <v>2014</v>
      </c>
      <c r="B11" s="220">
        <f>Parameters!B63</f>
        <v>1.028</v>
      </c>
      <c r="C11" s="439"/>
      <c r="D11" s="150">
        <f>Parameters!P63</f>
        <v>1</v>
      </c>
      <c r="E11" s="150">
        <f>Parameters!Q63</f>
        <v>1.01</v>
      </c>
      <c r="F11" s="1064">
        <f>Parameters!R63</f>
        <v>1.0180800000000001</v>
      </c>
      <c r="G11" s="432"/>
      <c r="H11" s="432"/>
      <c r="I11" s="431"/>
    </row>
    <row r="12" spans="1:44" s="89" customFormat="1">
      <c r="A12" s="161">
        <v>2015</v>
      </c>
      <c r="B12" s="220">
        <f>Parameters!B64</f>
        <v>1.01</v>
      </c>
      <c r="C12" s="439"/>
      <c r="D12" s="439"/>
      <c r="E12" s="150">
        <f>Parameters!Q64</f>
        <v>1</v>
      </c>
      <c r="F12" s="1064">
        <f>Parameters!R64</f>
        <v>1.008</v>
      </c>
      <c r="G12" s="432"/>
      <c r="H12" s="432"/>
      <c r="I12" s="431"/>
      <c r="J12" s="413"/>
      <c r="K12" s="418"/>
      <c r="L12" s="102"/>
      <c r="M12" s="112"/>
      <c r="N12" s="513"/>
      <c r="O12" s="112"/>
      <c r="P12" s="514"/>
      <c r="Q12" s="514"/>
      <c r="R12" s="514"/>
      <c r="S12" s="514"/>
      <c r="T12" s="413"/>
    </row>
    <row r="13" spans="1:44" s="89" customFormat="1">
      <c r="A13" s="290">
        <v>2016</v>
      </c>
      <c r="B13" s="1065">
        <f>Parameters!B65</f>
        <v>1.008</v>
      </c>
      <c r="C13" s="439"/>
      <c r="D13" s="439"/>
      <c r="E13" s="439"/>
      <c r="F13" s="1064">
        <f>Parameters!R65</f>
        <v>1</v>
      </c>
      <c r="G13" s="523"/>
      <c r="H13" s="432"/>
      <c r="I13" s="431"/>
      <c r="K13" s="102"/>
      <c r="L13" s="72"/>
      <c r="M13" s="102"/>
      <c r="N13" s="102"/>
      <c r="O13" s="102"/>
      <c r="P13" s="102"/>
      <c r="Q13" s="102"/>
      <c r="R13" s="102"/>
      <c r="S13" s="102"/>
      <c r="T13" s="102"/>
    </row>
    <row r="14" spans="1:44" s="89" customFormat="1">
      <c r="B14" s="447"/>
      <c r="C14" s="433"/>
      <c r="D14" s="433"/>
      <c r="E14" s="433"/>
      <c r="F14" s="447"/>
      <c r="G14" s="102"/>
      <c r="H14" s="102"/>
      <c r="I14" s="102"/>
      <c r="J14" s="102"/>
      <c r="K14" s="102"/>
      <c r="L14" s="102"/>
      <c r="M14" s="102"/>
      <c r="N14" s="102"/>
      <c r="O14" s="72"/>
      <c r="P14" s="102"/>
      <c r="Q14" s="102"/>
      <c r="R14" s="102"/>
      <c r="S14" s="102"/>
      <c r="T14" s="102"/>
    </row>
    <row r="15" spans="1:44" s="102" customFormat="1">
      <c r="A15" s="409" t="s">
        <v>500</v>
      </c>
      <c r="B15" s="948">
        <v>2014</v>
      </c>
      <c r="C15" s="948">
        <v>2015</v>
      </c>
      <c r="D15" s="110"/>
      <c r="E15" s="105"/>
      <c r="F15" s="105" t="s">
        <v>513</v>
      </c>
      <c r="G15" s="102" t="s">
        <v>513</v>
      </c>
      <c r="O15" s="72"/>
      <c r="U15" s="89"/>
      <c r="V15" s="89"/>
      <c r="W15" s="89"/>
      <c r="X15" s="89"/>
      <c r="Y15" s="89"/>
      <c r="Z15" s="89"/>
      <c r="AA15" s="89"/>
      <c r="AB15" s="89"/>
      <c r="AC15" s="89"/>
      <c r="AD15" s="89"/>
      <c r="AE15" s="89"/>
      <c r="AF15" s="89"/>
      <c r="AG15" s="89"/>
      <c r="AH15" s="89"/>
      <c r="AI15" s="293"/>
      <c r="AJ15" s="89"/>
      <c r="AK15" s="89"/>
    </row>
    <row r="16" spans="1:44" s="108" customFormat="1">
      <c r="A16" s="161" t="s">
        <v>936</v>
      </c>
      <c r="B16" s="880">
        <f>Parameters!P11</f>
        <v>8.1599999999999229E-2</v>
      </c>
      <c r="C16" s="880">
        <f>Parameters!Q11</f>
        <v>3.9999999999999591E-2</v>
      </c>
      <c r="D16" s="105"/>
      <c r="E16" s="105" t="s">
        <v>513</v>
      </c>
      <c r="F16" s="295"/>
      <c r="O16" s="76"/>
      <c r="U16" s="80"/>
      <c r="V16" s="80"/>
      <c r="W16" s="80"/>
      <c r="X16" s="80"/>
      <c r="Y16" s="80"/>
      <c r="Z16" s="80"/>
      <c r="AA16" s="80"/>
      <c r="AB16" s="80"/>
      <c r="AC16" s="80"/>
      <c r="AD16" s="80"/>
      <c r="AE16" s="80"/>
      <c r="AF16" s="80"/>
      <c r="AG16" s="80"/>
      <c r="AH16" s="80"/>
      <c r="AI16" s="296"/>
      <c r="AJ16" s="80"/>
      <c r="AK16" s="80"/>
    </row>
    <row r="17" spans="1:37" s="108" customFormat="1">
      <c r="A17" s="161"/>
      <c r="B17" s="245"/>
      <c r="C17" s="245"/>
      <c r="D17" s="105"/>
      <c r="E17" s="105"/>
      <c r="F17" s="295"/>
      <c r="J17" s="610"/>
      <c r="O17" s="76"/>
      <c r="U17" s="80"/>
      <c r="V17" s="80"/>
      <c r="W17" s="80"/>
      <c r="X17" s="80"/>
      <c r="Y17" s="80"/>
      <c r="Z17" s="80"/>
      <c r="AA17" s="80"/>
      <c r="AB17" s="80"/>
      <c r="AC17" s="80"/>
      <c r="AD17" s="80"/>
      <c r="AE17" s="80"/>
      <c r="AF17" s="80"/>
      <c r="AG17" s="80"/>
      <c r="AH17" s="80"/>
      <c r="AI17" s="296"/>
      <c r="AJ17" s="80"/>
      <c r="AK17" s="80"/>
    </row>
    <row r="18" spans="1:37" s="230" customFormat="1" ht="18" customHeight="1">
      <c r="A18" s="580" t="s">
        <v>1019</v>
      </c>
      <c r="B18" s="964"/>
      <c r="C18" s="964"/>
      <c r="D18" s="964"/>
      <c r="E18" s="964"/>
      <c r="F18" s="962" t="s">
        <v>707</v>
      </c>
      <c r="G18" s="424" t="s">
        <v>1020</v>
      </c>
      <c r="H18" s="424" t="s">
        <v>664</v>
      </c>
      <c r="I18" s="964" t="s">
        <v>661</v>
      </c>
      <c r="J18" s="612" t="s">
        <v>710</v>
      </c>
      <c r="K18" s="1437" t="s">
        <v>675</v>
      </c>
      <c r="L18" s="1437"/>
      <c r="M18" s="1437"/>
      <c r="N18" s="1437" t="s">
        <v>683</v>
      </c>
      <c r="O18" s="1437"/>
      <c r="P18" s="1437"/>
      <c r="Q18" s="1274"/>
    </row>
    <row r="19" spans="1:37" s="265" customFormat="1">
      <c r="A19" s="434"/>
      <c r="B19" s="424"/>
      <c r="C19" s="424"/>
      <c r="D19" s="424"/>
      <c r="E19" s="424"/>
      <c r="F19" s="962">
        <v>2015</v>
      </c>
      <c r="G19" s="434"/>
      <c r="H19" s="964">
        <v>2015</v>
      </c>
      <c r="I19" s="964">
        <v>2016</v>
      </c>
      <c r="J19" s="962">
        <v>2016</v>
      </c>
      <c r="K19" s="964" t="s">
        <v>684</v>
      </c>
      <c r="L19" s="964" t="s">
        <v>685</v>
      </c>
      <c r="M19" s="964" t="s">
        <v>686</v>
      </c>
      <c r="N19" s="964" t="s">
        <v>516</v>
      </c>
      <c r="O19" s="964" t="s">
        <v>517</v>
      </c>
      <c r="P19" s="964" t="s">
        <v>496</v>
      </c>
      <c r="Q19" s="1274"/>
      <c r="S19" s="588"/>
    </row>
    <row r="20" spans="1:37" s="265" customFormat="1">
      <c r="A20" s="175" t="s">
        <v>457</v>
      </c>
      <c r="B20" s="964" t="s">
        <v>491</v>
      </c>
      <c r="C20" s="964" t="s">
        <v>493</v>
      </c>
      <c r="D20" s="964" t="s">
        <v>458</v>
      </c>
      <c r="E20" s="964" t="s">
        <v>492</v>
      </c>
      <c r="F20" s="962" t="s">
        <v>699</v>
      </c>
      <c r="G20" s="434" t="s">
        <v>709</v>
      </c>
      <c r="H20" s="964" t="s">
        <v>919</v>
      </c>
      <c r="I20" s="964" t="s">
        <v>919</v>
      </c>
      <c r="J20" s="962" t="s">
        <v>667</v>
      </c>
      <c r="K20" s="964"/>
      <c r="L20" s="964"/>
      <c r="M20" s="964"/>
      <c r="N20" s="964" t="s">
        <v>667</v>
      </c>
      <c r="O20" s="964" t="s">
        <v>667</v>
      </c>
      <c r="P20" s="964" t="s">
        <v>667</v>
      </c>
      <c r="Q20" s="1274"/>
      <c r="S20" s="588"/>
    </row>
    <row r="21" spans="1:37" s="89" customFormat="1">
      <c r="A21" s="168"/>
      <c r="B21" s="282"/>
      <c r="C21" s="1311"/>
      <c r="D21" s="282"/>
      <c r="E21" s="303"/>
      <c r="F21" s="303"/>
      <c r="G21" s="282"/>
      <c r="H21" s="570"/>
      <c r="I21" s="266"/>
      <c r="J21" s="100"/>
      <c r="K21" s="1312"/>
      <c r="L21" s="1312"/>
      <c r="M21" s="1312"/>
      <c r="N21" s="109"/>
      <c r="O21" s="109"/>
      <c r="P21" s="109"/>
      <c r="Q21" s="1274"/>
      <c r="S21" s="588"/>
    </row>
    <row r="22" spans="1:37" s="89" customFormat="1">
      <c r="A22" s="522"/>
      <c r="B22" s="524"/>
      <c r="C22" s="525"/>
      <c r="D22" s="524"/>
      <c r="E22" s="517"/>
      <c r="F22" s="524"/>
      <c r="G22" s="541"/>
      <c r="H22" s="526"/>
      <c r="I22" s="527"/>
      <c r="J22" s="517"/>
      <c r="K22" s="528"/>
      <c r="L22" s="528"/>
      <c r="M22" s="528"/>
      <c r="N22" s="529">
        <f>SUM(N21:N21)</f>
        <v>0</v>
      </c>
      <c r="O22" s="529">
        <f>SUM(O21:O21)</f>
        <v>0</v>
      </c>
      <c r="P22" s="531">
        <f>SUM(P21:P21)</f>
        <v>0</v>
      </c>
      <c r="Q22" s="1274"/>
      <c r="R22" s="102"/>
      <c r="S22" s="102"/>
      <c r="T22" s="102"/>
      <c r="U22" s="102"/>
    </row>
    <row r="23" spans="1:37" s="89" customFormat="1">
      <c r="A23" s="518"/>
      <c r="B23" s="518"/>
      <c r="C23" s="518"/>
      <c r="D23" s="518"/>
      <c r="E23" s="518"/>
      <c r="F23" s="519"/>
      <c r="G23" s="518"/>
      <c r="H23" s="518"/>
      <c r="I23" s="518"/>
      <c r="J23" s="520"/>
      <c r="K23" s="520"/>
      <c r="L23" s="520"/>
      <c r="M23" s="518"/>
      <c r="N23" s="518"/>
      <c r="O23" s="518"/>
      <c r="P23" s="521"/>
      <c r="Q23" s="1274"/>
      <c r="R23" s="515"/>
      <c r="S23" s="515"/>
      <c r="T23" s="515"/>
      <c r="U23" s="515"/>
      <c r="V23" s="515"/>
    </row>
    <row r="24" spans="1:37" s="89" customFormat="1">
      <c r="A24" s="409" t="s">
        <v>715</v>
      </c>
      <c r="B24" s="386"/>
      <c r="C24" s="750"/>
      <c r="D24" s="750"/>
      <c r="E24" s="750"/>
      <c r="F24" s="751"/>
      <c r="G24" s="750"/>
      <c r="H24" s="750"/>
      <c r="I24" s="750"/>
      <c r="J24" s="515"/>
      <c r="K24" s="515"/>
      <c r="L24" s="515"/>
      <c r="M24" s="750"/>
      <c r="N24" s="750"/>
      <c r="O24" s="750"/>
      <c r="P24" s="752"/>
      <c r="Q24" s="750"/>
      <c r="R24" s="515"/>
      <c r="S24" s="515"/>
      <c r="T24" s="515"/>
      <c r="U24" s="515"/>
      <c r="V24" s="515"/>
    </row>
    <row r="25" spans="1:37" s="89" customFormat="1">
      <c r="A25" s="141" t="s">
        <v>920</v>
      </c>
      <c r="B25" s="142">
        <f>N22</f>
        <v>0</v>
      </c>
      <c r="C25" s="750"/>
      <c r="D25" s="750"/>
      <c r="E25" s="750"/>
      <c r="F25" s="751"/>
      <c r="G25" s="750"/>
      <c r="H25" s="750"/>
      <c r="I25" s="750"/>
      <c r="J25" s="515"/>
      <c r="K25" s="515"/>
      <c r="L25" s="515"/>
      <c r="M25" s="750"/>
      <c r="N25" s="750"/>
      <c r="O25" s="750"/>
      <c r="P25" s="752"/>
      <c r="Q25" s="750"/>
      <c r="R25" s="515"/>
      <c r="S25" s="515"/>
      <c r="T25" s="515"/>
      <c r="U25" s="515"/>
      <c r="V25" s="515"/>
    </row>
    <row r="26" spans="1:37" s="89" customFormat="1">
      <c r="A26" s="141" t="s">
        <v>921</v>
      </c>
      <c r="B26" s="142">
        <f>O22</f>
        <v>0</v>
      </c>
      <c r="C26" s="750"/>
      <c r="D26" s="750"/>
      <c r="E26" s="750"/>
      <c r="F26" s="751"/>
      <c r="G26" s="750"/>
      <c r="H26" s="750"/>
      <c r="I26" s="750"/>
      <c r="J26" s="515"/>
      <c r="K26" s="515"/>
      <c r="L26" s="515"/>
      <c r="M26" s="750"/>
      <c r="N26" s="750"/>
      <c r="O26" s="750"/>
      <c r="P26" s="752"/>
      <c r="Q26" s="750"/>
      <c r="R26" s="515"/>
      <c r="S26" s="515"/>
      <c r="T26" s="515"/>
      <c r="U26" s="515"/>
      <c r="V26" s="515"/>
    </row>
    <row r="27" spans="1:37" s="89" customFormat="1">
      <c r="A27" s="141" t="s">
        <v>922</v>
      </c>
      <c r="B27" s="143">
        <f>P22</f>
        <v>0</v>
      </c>
      <c r="C27" s="750"/>
      <c r="D27" s="750"/>
      <c r="E27" s="750"/>
      <c r="F27" s="751"/>
      <c r="G27" s="750"/>
      <c r="H27" s="750"/>
      <c r="I27" s="750"/>
      <c r="J27" s="515"/>
      <c r="K27" s="515"/>
      <c r="L27" s="515"/>
      <c r="M27" s="750"/>
      <c r="N27" s="750"/>
      <c r="O27" s="750"/>
      <c r="P27" s="752"/>
      <c r="Q27" s="750"/>
      <c r="R27" s="515"/>
      <c r="S27" s="515"/>
      <c r="T27" s="515"/>
      <c r="U27" s="515"/>
      <c r="V27" s="515"/>
    </row>
    <row r="28" spans="1:37" s="89" customFormat="1">
      <c r="A28" s="414"/>
      <c r="B28" s="108"/>
      <c r="C28" s="750"/>
      <c r="D28" s="750"/>
      <c r="E28" s="750"/>
      <c r="F28" s="751"/>
      <c r="G28" s="750"/>
      <c r="H28" s="750"/>
      <c r="I28" s="750"/>
      <c r="J28" s="515"/>
      <c r="K28" s="515"/>
      <c r="L28" s="515"/>
      <c r="M28" s="750"/>
      <c r="N28" s="750"/>
      <c r="O28" s="750"/>
      <c r="P28" s="752"/>
      <c r="Q28" s="750"/>
      <c r="R28" s="515"/>
      <c r="S28" s="515"/>
      <c r="T28" s="515"/>
      <c r="U28" s="515"/>
      <c r="V28" s="515"/>
    </row>
    <row r="29" spans="1:37" s="89" customFormat="1">
      <c r="A29" s="887" t="s">
        <v>1040</v>
      </c>
      <c r="B29" s="108"/>
      <c r="C29" s="750"/>
      <c r="D29" s="750"/>
      <c r="E29" s="750"/>
      <c r="F29" s="751"/>
      <c r="G29" s="750"/>
      <c r="H29" s="750"/>
      <c r="I29" s="750"/>
      <c r="J29" s="515"/>
      <c r="K29" s="515"/>
      <c r="L29" s="515"/>
      <c r="M29" s="750"/>
      <c r="N29" s="750"/>
      <c r="O29" s="750"/>
      <c r="P29" s="752"/>
      <c r="Q29" s="750"/>
      <c r="R29" s="515"/>
      <c r="S29" s="515"/>
      <c r="T29" s="515"/>
      <c r="U29" s="515"/>
      <c r="V29" s="515"/>
    </row>
    <row r="30" spans="1:37" s="89" customFormat="1">
      <c r="A30" s="415" t="s">
        <v>1048</v>
      </c>
      <c r="B30" s="287">
        <f>Parameters!B84</f>
        <v>854760619.38343453</v>
      </c>
      <c r="C30" s="750"/>
      <c r="D30" s="750"/>
      <c r="E30" s="750"/>
      <c r="F30" s="751"/>
      <c r="G30" s="750"/>
      <c r="H30" s="750"/>
      <c r="I30" s="750"/>
      <c r="J30" s="515"/>
      <c r="K30" s="515"/>
      <c r="L30" s="515"/>
      <c r="M30" s="750"/>
      <c r="N30" s="750"/>
      <c r="O30" s="750"/>
      <c r="P30" s="752"/>
      <c r="Q30" s="750"/>
      <c r="R30" s="515"/>
      <c r="S30" s="515"/>
      <c r="T30" s="515"/>
      <c r="U30" s="515"/>
      <c r="V30" s="515"/>
    </row>
    <row r="31" spans="1:37" s="89" customFormat="1">
      <c r="A31" s="415" t="s">
        <v>1050</v>
      </c>
      <c r="B31" s="384">
        <f>Parameters!C83</f>
        <v>31110941.808018349</v>
      </c>
      <c r="C31" s="750"/>
      <c r="D31" s="750"/>
      <c r="E31" s="750"/>
      <c r="F31" s="751"/>
      <c r="G31" s="750"/>
      <c r="H31" s="750"/>
      <c r="I31" s="750"/>
      <c r="J31" s="515"/>
      <c r="K31" s="515"/>
      <c r="L31" s="515"/>
      <c r="M31" s="750"/>
      <c r="N31" s="750"/>
      <c r="O31" s="750"/>
      <c r="P31" s="752"/>
      <c r="Q31" s="750"/>
      <c r="R31" s="515"/>
      <c r="S31" s="515"/>
      <c r="T31" s="515"/>
      <c r="U31" s="515"/>
      <c r="V31" s="515"/>
    </row>
    <row r="32" spans="1:37" s="89" customFormat="1">
      <c r="A32" s="415" t="s">
        <v>1051</v>
      </c>
      <c r="B32" s="384">
        <f>Parameters!F83</f>
        <v>77307604.879740357</v>
      </c>
      <c r="C32" s="750"/>
      <c r="D32" s="750"/>
      <c r="E32" s="750"/>
      <c r="F32" s="751"/>
      <c r="G32" s="750"/>
      <c r="H32" s="750"/>
      <c r="I32" s="750"/>
      <c r="J32" s="515"/>
      <c r="K32" s="515"/>
      <c r="L32" s="515"/>
      <c r="M32" s="750"/>
      <c r="N32" s="750"/>
      <c r="O32" s="750"/>
      <c r="P32" s="752"/>
      <c r="Q32" s="750"/>
      <c r="R32" s="515"/>
      <c r="S32" s="515"/>
      <c r="T32" s="515"/>
      <c r="U32" s="515"/>
      <c r="V32" s="515"/>
    </row>
    <row r="33" spans="1:22" s="89" customFormat="1">
      <c r="A33" s="385"/>
      <c r="B33" s="416"/>
      <c r="C33" s="750"/>
      <c r="D33" s="750"/>
      <c r="E33" s="750"/>
      <c r="F33" s="751"/>
      <c r="G33" s="750"/>
      <c r="H33" s="750"/>
      <c r="I33" s="750"/>
      <c r="J33" s="515"/>
      <c r="K33" s="515"/>
      <c r="L33" s="515"/>
      <c r="M33" s="750"/>
      <c r="N33" s="750"/>
      <c r="O33" s="750"/>
      <c r="P33" s="752"/>
      <c r="Q33" s="750"/>
      <c r="R33" s="515"/>
      <c r="S33" s="515"/>
      <c r="T33" s="515"/>
      <c r="U33" s="515"/>
      <c r="V33" s="515"/>
    </row>
    <row r="34" spans="1:22" s="89" customFormat="1">
      <c r="A34" s="412" t="s">
        <v>1052</v>
      </c>
      <c r="B34" s="386"/>
      <c r="C34" s="750"/>
      <c r="D34" s="750"/>
      <c r="E34" s="750"/>
      <c r="F34" s="751"/>
      <c r="G34" s="750"/>
      <c r="H34" s="750"/>
      <c r="I34" s="750"/>
      <c r="J34" s="515"/>
      <c r="K34" s="515"/>
      <c r="L34" s="515"/>
      <c r="M34" s="750"/>
      <c r="N34" s="750"/>
      <c r="O34" s="750"/>
      <c r="P34" s="752"/>
      <c r="Q34" s="750"/>
      <c r="R34" s="515"/>
      <c r="S34" s="515"/>
      <c r="T34" s="515"/>
      <c r="U34" s="515"/>
      <c r="V34" s="515"/>
    </row>
    <row r="35" spans="1:22" s="89" customFormat="1">
      <c r="A35" s="417" t="s">
        <v>923</v>
      </c>
      <c r="B35" s="27">
        <f>B25/B30</f>
        <v>0</v>
      </c>
      <c r="C35" s="750"/>
      <c r="D35" s="750"/>
      <c r="E35" s="750"/>
      <c r="F35" s="751"/>
      <c r="G35" s="750"/>
      <c r="H35" s="750"/>
      <c r="I35" s="750"/>
      <c r="J35" s="515"/>
      <c r="K35" s="515"/>
      <c r="L35" s="515"/>
      <c r="M35" s="750"/>
      <c r="N35" s="750"/>
      <c r="O35" s="750"/>
      <c r="P35" s="752"/>
      <c r="Q35" s="750"/>
      <c r="R35" s="515"/>
      <c r="S35" s="515"/>
      <c r="T35" s="515"/>
      <c r="U35" s="515"/>
      <c r="V35" s="515"/>
    </row>
    <row r="36" spans="1:22" s="89" customFormat="1">
      <c r="A36" s="391" t="s">
        <v>515</v>
      </c>
      <c r="B36" s="140">
        <f>B26/B31</f>
        <v>0</v>
      </c>
      <c r="C36" s="750"/>
      <c r="D36" s="750"/>
      <c r="E36" s="750"/>
      <c r="F36" s="751"/>
      <c r="G36" s="750"/>
      <c r="H36" s="750"/>
      <c r="I36" s="750"/>
      <c r="J36" s="515"/>
      <c r="K36" s="515"/>
      <c r="L36" s="515"/>
      <c r="M36" s="750"/>
      <c r="N36" s="750"/>
      <c r="O36" s="750"/>
      <c r="P36" s="752"/>
      <c r="Q36" s="750"/>
      <c r="R36" s="515"/>
      <c r="S36" s="515"/>
      <c r="T36" s="515"/>
      <c r="U36" s="515"/>
      <c r="V36" s="515"/>
    </row>
    <row r="37" spans="1:22" s="89" customFormat="1">
      <c r="A37" s="417" t="s">
        <v>16</v>
      </c>
      <c r="B37" s="27">
        <f>B27/B32</f>
        <v>0</v>
      </c>
      <c r="C37" s="750"/>
      <c r="D37" s="750"/>
      <c r="E37" s="750"/>
      <c r="F37" s="751"/>
      <c r="G37" s="750"/>
      <c r="H37" s="750"/>
      <c r="I37" s="750"/>
      <c r="J37" s="515"/>
      <c r="K37" s="515"/>
      <c r="L37" s="515"/>
      <c r="M37" s="750"/>
      <c r="N37" s="750"/>
      <c r="O37" s="750"/>
      <c r="P37" s="752"/>
      <c r="Q37" s="750"/>
      <c r="R37" s="515"/>
      <c r="S37" s="515"/>
      <c r="T37" s="515"/>
      <c r="U37" s="515"/>
      <c r="V37" s="515"/>
    </row>
    <row r="38" spans="1:22" s="89" customFormat="1">
      <c r="A38" s="750"/>
      <c r="B38" s="750"/>
      <c r="C38" s="750"/>
      <c r="D38" s="750"/>
      <c r="E38" s="750"/>
      <c r="F38" s="751"/>
      <c r="G38" s="750"/>
      <c r="H38" s="750"/>
      <c r="I38" s="750"/>
      <c r="J38" s="515"/>
      <c r="K38" s="515"/>
      <c r="L38" s="515"/>
      <c r="M38" s="750"/>
      <c r="N38" s="750"/>
      <c r="O38" s="750"/>
      <c r="P38" s="752"/>
      <c r="Q38" s="750"/>
      <c r="R38" s="515"/>
      <c r="S38" s="515"/>
      <c r="T38" s="515"/>
      <c r="U38" s="515"/>
      <c r="V38" s="515"/>
    </row>
    <row r="39" spans="1:22" s="89" customFormat="1">
      <c r="A39" s="581" t="s">
        <v>925</v>
      </c>
      <c r="B39" s="396"/>
      <c r="C39" s="1072"/>
      <c r="D39" s="396"/>
      <c r="E39" s="1003"/>
      <c r="F39" s="802"/>
      <c r="G39" s="964" t="s">
        <v>1021</v>
      </c>
      <c r="H39" s="962" t="s">
        <v>663</v>
      </c>
      <c r="I39" s="958" t="s">
        <v>665</v>
      </c>
      <c r="J39" s="962" t="s">
        <v>1022</v>
      </c>
      <c r="K39" s="424" t="s">
        <v>918</v>
      </c>
      <c r="L39" s="424" t="s">
        <v>918</v>
      </c>
      <c r="M39" s="964" t="s">
        <v>582</v>
      </c>
      <c r="N39" s="964" t="s">
        <v>663</v>
      </c>
      <c r="O39" s="424" t="s">
        <v>664</v>
      </c>
      <c r="P39" s="964" t="s">
        <v>666</v>
      </c>
      <c r="Q39" s="491" t="s">
        <v>663</v>
      </c>
      <c r="R39" s="964" t="s">
        <v>661</v>
      </c>
      <c r="S39" s="964" t="s">
        <v>1023</v>
      </c>
    </row>
    <row r="40" spans="1:22" s="89" customFormat="1">
      <c r="A40" s="396"/>
      <c r="B40" s="396"/>
      <c r="C40" s="1072"/>
      <c r="D40" s="396"/>
      <c r="E40" s="1003"/>
      <c r="F40" s="802"/>
      <c r="G40" s="424" t="s">
        <v>697</v>
      </c>
      <c r="H40" s="962">
        <v>2015</v>
      </c>
      <c r="I40" s="958">
        <v>2015</v>
      </c>
      <c r="J40" s="424"/>
      <c r="K40" s="424">
        <v>2015</v>
      </c>
      <c r="L40" s="958">
        <v>2016</v>
      </c>
      <c r="M40" s="434"/>
      <c r="N40" s="964">
        <v>2015</v>
      </c>
      <c r="O40" s="964">
        <v>2015</v>
      </c>
      <c r="P40" s="964">
        <v>2015</v>
      </c>
      <c r="Q40" s="491">
        <v>2016</v>
      </c>
      <c r="R40" s="964">
        <v>2016</v>
      </c>
      <c r="S40" s="964" t="s">
        <v>667</v>
      </c>
    </row>
    <row r="41" spans="1:22" s="89" customFormat="1">
      <c r="A41" s="434" t="s">
        <v>144</v>
      </c>
      <c r="B41" s="542" t="s">
        <v>145</v>
      </c>
      <c r="C41" s="964" t="s">
        <v>491</v>
      </c>
      <c r="D41" s="964" t="s">
        <v>493</v>
      </c>
      <c r="E41" s="964" t="s">
        <v>458</v>
      </c>
      <c r="F41" s="964" t="s">
        <v>492</v>
      </c>
      <c r="G41" s="491" t="s">
        <v>583</v>
      </c>
      <c r="H41" s="962" t="s">
        <v>698</v>
      </c>
      <c r="I41" s="964"/>
      <c r="J41" s="424"/>
      <c r="K41" s="424"/>
      <c r="L41" s="434"/>
      <c r="M41" s="133"/>
      <c r="N41" s="964" t="s">
        <v>919</v>
      </c>
      <c r="O41" s="964" t="s">
        <v>919</v>
      </c>
      <c r="P41" s="964" t="s">
        <v>667</v>
      </c>
      <c r="Q41" s="964" t="s">
        <v>919</v>
      </c>
      <c r="R41" s="964" t="s">
        <v>919</v>
      </c>
      <c r="S41" s="424" t="s">
        <v>1024</v>
      </c>
    </row>
    <row r="42" spans="1:22" s="1152" customFormat="1">
      <c r="A42" s="1329">
        <v>301454</v>
      </c>
      <c r="B42" s="1330" t="s">
        <v>646</v>
      </c>
      <c r="C42" s="1331" t="s">
        <v>659</v>
      </c>
      <c r="D42" s="1370"/>
      <c r="E42" s="1387"/>
      <c r="F42" s="1360"/>
      <c r="G42" s="1355"/>
      <c r="H42" s="1387"/>
      <c r="I42" s="1390"/>
      <c r="J42" s="1382"/>
      <c r="K42" s="1386"/>
      <c r="L42" s="1386"/>
      <c r="M42" s="1389"/>
      <c r="N42" s="1389"/>
      <c r="O42" s="1389"/>
      <c r="P42" s="1390"/>
      <c r="Q42" s="1389"/>
      <c r="R42" s="1385"/>
      <c r="S42" s="1367"/>
    </row>
    <row r="43" spans="1:22" s="1152" customFormat="1">
      <c r="A43" s="1329">
        <v>301454</v>
      </c>
      <c r="B43" s="1330" t="s">
        <v>646</v>
      </c>
      <c r="C43" s="1331" t="s">
        <v>1160</v>
      </c>
      <c r="D43" s="1370"/>
      <c r="E43" s="1387"/>
      <c r="F43" s="1360"/>
      <c r="G43" s="1355"/>
      <c r="H43" s="1390"/>
      <c r="I43" s="1390"/>
      <c r="J43" s="1382"/>
      <c r="K43" s="1386"/>
      <c r="L43" s="1386"/>
      <c r="M43" s="1389"/>
      <c r="N43" s="1389"/>
      <c r="O43" s="1389"/>
      <c r="P43" s="1390"/>
      <c r="Q43" s="1389"/>
      <c r="R43" s="1385"/>
      <c r="S43" s="1367"/>
    </row>
    <row r="44" spans="1:22" s="1152" customFormat="1">
      <c r="A44" s="1329">
        <v>301454</v>
      </c>
      <c r="B44" s="1330" t="s">
        <v>646</v>
      </c>
      <c r="C44" s="1331" t="s">
        <v>1160</v>
      </c>
      <c r="D44" s="1370"/>
      <c r="E44" s="1387"/>
      <c r="F44" s="1360"/>
      <c r="G44" s="1355"/>
      <c r="H44" s="1390"/>
      <c r="I44" s="1390"/>
      <c r="J44" s="1382"/>
      <c r="K44" s="1386"/>
      <c r="L44" s="1386"/>
      <c r="M44" s="1389"/>
      <c r="N44" s="1389"/>
      <c r="O44" s="1389"/>
      <c r="P44" s="1390"/>
      <c r="Q44" s="1389"/>
      <c r="R44" s="1385"/>
      <c r="S44" s="1367"/>
    </row>
    <row r="45" spans="1:22" s="1152" customFormat="1">
      <c r="A45" s="1329">
        <v>301454</v>
      </c>
      <c r="B45" s="1330" t="s">
        <v>646</v>
      </c>
      <c r="C45" s="1331" t="s">
        <v>1160</v>
      </c>
      <c r="D45" s="1370"/>
      <c r="E45" s="1387"/>
      <c r="F45" s="1360"/>
      <c r="G45" s="1355"/>
      <c r="H45" s="1390"/>
      <c r="I45" s="1390"/>
      <c r="J45" s="1382"/>
      <c r="K45" s="1386"/>
      <c r="L45" s="1386"/>
      <c r="M45" s="1389"/>
      <c r="N45" s="1389"/>
      <c r="O45" s="1389"/>
      <c r="P45" s="1390"/>
      <c r="Q45" s="1389"/>
      <c r="R45" s="1385"/>
      <c r="S45" s="1367"/>
    </row>
    <row r="46" spans="1:22" s="1152" customFormat="1">
      <c r="A46" s="1335">
        <v>301468</v>
      </c>
      <c r="B46" s="1330" t="s">
        <v>848</v>
      </c>
      <c r="C46" s="1331" t="s">
        <v>659</v>
      </c>
      <c r="D46" s="1381"/>
      <c r="E46" s="1387"/>
      <c r="F46" s="1390"/>
      <c r="G46" s="1355"/>
      <c r="H46" s="1390"/>
      <c r="I46" s="1390"/>
      <c r="J46" s="1382"/>
      <c r="K46" s="1386"/>
      <c r="L46" s="1386"/>
      <c r="M46" s="1389"/>
      <c r="N46" s="1389"/>
      <c r="O46" s="1389"/>
      <c r="P46" s="1390"/>
      <c r="Q46" s="1389"/>
      <c r="R46" s="1385"/>
      <c r="S46" s="1367"/>
    </row>
    <row r="47" spans="1:22" s="1152" customFormat="1">
      <c r="A47" s="1329">
        <v>301348</v>
      </c>
      <c r="B47" s="1330" t="s">
        <v>19</v>
      </c>
      <c r="C47" s="1331" t="s">
        <v>659</v>
      </c>
      <c r="D47" s="1370"/>
      <c r="E47" s="1387"/>
      <c r="F47" s="1360"/>
      <c r="G47" s="1355"/>
      <c r="H47" s="1390"/>
      <c r="I47" s="1390"/>
      <c r="J47" s="1382"/>
      <c r="K47" s="1386"/>
      <c r="L47" s="1386"/>
      <c r="M47" s="1389"/>
      <c r="N47" s="1389"/>
      <c r="O47" s="1389"/>
      <c r="P47" s="1390"/>
      <c r="Q47" s="1389"/>
      <c r="R47" s="1385"/>
      <c r="S47" s="1367"/>
    </row>
    <row r="48" spans="1:22" s="1152" customFormat="1">
      <c r="A48" s="1329">
        <v>301348</v>
      </c>
      <c r="B48" s="1330" t="s">
        <v>19</v>
      </c>
      <c r="C48" s="1331" t="s">
        <v>1160</v>
      </c>
      <c r="D48" s="1370"/>
      <c r="E48" s="1387"/>
      <c r="F48" s="1360"/>
      <c r="G48" s="1355"/>
      <c r="H48" s="1390"/>
      <c r="I48" s="1390"/>
      <c r="J48" s="1382"/>
      <c r="K48" s="1386"/>
      <c r="L48" s="1386"/>
      <c r="M48" s="1389"/>
      <c r="N48" s="1389"/>
      <c r="O48" s="1389"/>
      <c r="P48" s="1390"/>
      <c r="Q48" s="1389"/>
      <c r="R48" s="1385"/>
      <c r="S48" s="1367"/>
    </row>
    <row r="49" spans="1:39" s="1152" customFormat="1">
      <c r="A49" s="1329">
        <v>301348</v>
      </c>
      <c r="B49" s="1330" t="s">
        <v>19</v>
      </c>
      <c r="C49" s="1331" t="s">
        <v>1160</v>
      </c>
      <c r="D49" s="1370"/>
      <c r="E49" s="1387"/>
      <c r="F49" s="1360"/>
      <c r="G49" s="1355"/>
      <c r="H49" s="1390"/>
      <c r="I49" s="1390"/>
      <c r="J49" s="1382"/>
      <c r="K49" s="1386"/>
      <c r="L49" s="1386"/>
      <c r="M49" s="1389"/>
      <c r="N49" s="1389"/>
      <c r="O49" s="1389"/>
      <c r="P49" s="1390"/>
      <c r="Q49" s="1389"/>
      <c r="R49" s="1385"/>
      <c r="S49" s="1367"/>
    </row>
    <row r="50" spans="1:39" s="1152" customFormat="1">
      <c r="A50" s="1329">
        <v>301391</v>
      </c>
      <c r="B50" s="1330" t="s">
        <v>658</v>
      </c>
      <c r="C50" s="1331" t="s">
        <v>659</v>
      </c>
      <c r="D50" s="1370"/>
      <c r="E50" s="1387"/>
      <c r="F50" s="1360"/>
      <c r="G50" s="1355"/>
      <c r="H50" s="1390"/>
      <c r="I50" s="1390"/>
      <c r="J50" s="1382"/>
      <c r="K50" s="1386"/>
      <c r="L50" s="1386"/>
      <c r="M50" s="1389"/>
      <c r="N50" s="1389"/>
      <c r="O50" s="1389"/>
      <c r="P50" s="1390"/>
      <c r="Q50" s="1389"/>
      <c r="R50" s="1385"/>
      <c r="S50" s="1367"/>
    </row>
    <row r="51" spans="1:39" s="1152" customFormat="1">
      <c r="A51" s="1329">
        <v>301391</v>
      </c>
      <c r="B51" s="1330" t="s">
        <v>658</v>
      </c>
      <c r="C51" s="1331" t="s">
        <v>1160</v>
      </c>
      <c r="D51" s="1370"/>
      <c r="E51" s="1387"/>
      <c r="F51" s="1360"/>
      <c r="G51" s="1355"/>
      <c r="H51" s="1390"/>
      <c r="I51" s="1390"/>
      <c r="J51" s="1382"/>
      <c r="K51" s="1386"/>
      <c r="L51" s="1386"/>
      <c r="M51" s="1389"/>
      <c r="N51" s="1389"/>
      <c r="O51" s="1389"/>
      <c r="P51" s="1390"/>
      <c r="Q51" s="1389"/>
      <c r="R51" s="1385"/>
      <c r="S51" s="1367"/>
    </row>
    <row r="52" spans="1:39" s="1152" customFormat="1">
      <c r="A52" s="1329">
        <v>301391</v>
      </c>
      <c r="B52" s="1330" t="s">
        <v>658</v>
      </c>
      <c r="C52" s="1331" t="s">
        <v>1160</v>
      </c>
      <c r="D52" s="1370"/>
      <c r="E52" s="1387"/>
      <c r="F52" s="1360"/>
      <c r="G52" s="1355"/>
      <c r="H52" s="1390"/>
      <c r="I52" s="1390"/>
      <c r="J52" s="1382"/>
      <c r="K52" s="1386"/>
      <c r="L52" s="1386"/>
      <c r="M52" s="1389"/>
      <c r="N52" s="1389"/>
      <c r="O52" s="1389"/>
      <c r="P52" s="1390"/>
      <c r="Q52" s="1389"/>
      <c r="R52" s="1385"/>
      <c r="S52" s="1367"/>
    </row>
    <row r="53" spans="1:39" s="89" customFormat="1">
      <c r="A53" s="129"/>
      <c r="B53" s="108"/>
      <c r="C53" s="108"/>
      <c r="D53" s="108"/>
      <c r="E53" s="108"/>
      <c r="F53" s="108"/>
      <c r="G53" s="108"/>
      <c r="H53" s="108"/>
      <c r="I53" s="108"/>
      <c r="J53" s="108"/>
      <c r="K53" s="402"/>
      <c r="L53" s="402"/>
      <c r="M53" s="533"/>
      <c r="N53" s="79"/>
      <c r="O53" s="402"/>
      <c r="P53" s="402"/>
      <c r="Q53" s="516"/>
      <c r="R53" s="250"/>
      <c r="T53" s="427"/>
    </row>
    <row r="54" spans="1:39" s="89" customFormat="1">
      <c r="A54" s="434" t="s">
        <v>924</v>
      </c>
      <c r="C54" s="386"/>
      <c r="D54" s="108"/>
      <c r="E54" s="108"/>
      <c r="F54" s="108"/>
      <c r="G54" s="108"/>
      <c r="H54" s="108"/>
      <c r="I54" s="108"/>
      <c r="J54" s="108"/>
      <c r="K54" s="108"/>
      <c r="L54" s="108"/>
      <c r="M54" s="108"/>
      <c r="N54" s="534"/>
      <c r="O54" s="76"/>
      <c r="P54" s="108"/>
      <c r="Q54" s="108"/>
      <c r="R54" s="108"/>
      <c r="S54" s="80"/>
      <c r="T54" s="571"/>
      <c r="V54" s="80"/>
    </row>
    <row r="55" spans="1:39" s="89" customFormat="1">
      <c r="A55" s="434" t="s">
        <v>144</v>
      </c>
      <c r="B55" s="542" t="s">
        <v>145</v>
      </c>
      <c r="C55" s="542" t="s">
        <v>715</v>
      </c>
      <c r="D55" s="542" t="s">
        <v>1090</v>
      </c>
      <c r="E55" s="108"/>
      <c r="F55" s="108"/>
      <c r="G55" s="108"/>
      <c r="H55" s="108"/>
      <c r="I55" s="108"/>
      <c r="J55" s="108"/>
      <c r="K55" s="108"/>
      <c r="L55" s="108"/>
      <c r="M55" s="108"/>
      <c r="N55" s="534"/>
      <c r="O55" s="76"/>
      <c r="P55" s="108"/>
      <c r="Q55" s="108"/>
      <c r="R55" s="108"/>
      <c r="S55" s="80"/>
      <c r="T55" s="571"/>
      <c r="V55" s="80"/>
    </row>
    <row r="56" spans="1:39" s="89" customFormat="1">
      <c r="A56" s="756">
        <f>'TAR_Tab 2_Volumina'!AC22</f>
        <v>301454</v>
      </c>
      <c r="B56" s="812" t="str">
        <f>'TAR_Tab 2_Volumina'!AD22</f>
        <v>MAASVLAKTE Q16 ORANJE NASSAU (ONE)</v>
      </c>
      <c r="C56" s="1342"/>
      <c r="D56" s="1336" t="s">
        <v>638</v>
      </c>
      <c r="E56" s="324"/>
      <c r="F56" s="108"/>
      <c r="H56" s="108"/>
      <c r="I56" s="108"/>
      <c r="J56" s="108"/>
      <c r="K56" s="108"/>
      <c r="L56" s="108"/>
      <c r="M56" s="108"/>
      <c r="N56" s="534"/>
      <c r="O56" s="76"/>
      <c r="P56" s="108"/>
      <c r="R56" s="108"/>
      <c r="S56" s="108"/>
      <c r="T56" s="80"/>
      <c r="U56" s="80"/>
      <c r="V56" s="80"/>
    </row>
    <row r="57" spans="1:39" s="73" customFormat="1">
      <c r="A57" s="756">
        <f>'TAR_Tab 2_Volumina'!AC23</f>
        <v>301468</v>
      </c>
      <c r="B57" s="812" t="str">
        <f>'TAR_Tab 2_Volumina'!AD23</f>
        <v>HEMRIK/DONKERBROEK (TULIP OIL)</v>
      </c>
      <c r="C57" s="1342"/>
      <c r="D57" s="1336" t="s">
        <v>662</v>
      </c>
      <c r="E57" s="107"/>
      <c r="F57" s="76"/>
      <c r="U57" s="71"/>
      <c r="V57" s="71"/>
    </row>
    <row r="58" spans="1:39" s="89" customFormat="1">
      <c r="A58" s="756">
        <f>'TAR_Tab 2_Volumina'!AC24</f>
        <v>301348</v>
      </c>
      <c r="B58" s="812" t="str">
        <f>'TAR_Tab 2_Volumina'!AD24</f>
        <v>BERGERMEER (TAQA-UGS)</v>
      </c>
      <c r="C58" s="1342"/>
      <c r="D58" s="1336" t="s">
        <v>638</v>
      </c>
      <c r="E58" s="108"/>
      <c r="F58" s="116"/>
      <c r="U58" s="80"/>
      <c r="V58" s="80"/>
    </row>
    <row r="59" spans="1:39" s="89" customFormat="1">
      <c r="A59" s="756">
        <f>'TAR_Tab 2_Volumina'!AC25</f>
        <v>301391</v>
      </c>
      <c r="B59" s="812" t="str">
        <f>'TAR_Tab 2_Volumina'!AD25</f>
        <v>OUDE STATENZIJL (ASTORA JEMGUM)</v>
      </c>
      <c r="C59" s="1342"/>
      <c r="D59" s="1336" t="s">
        <v>638</v>
      </c>
      <c r="E59" s="108"/>
      <c r="F59" s="108"/>
      <c r="U59" s="80"/>
      <c r="V59" s="80"/>
    </row>
    <row r="60" spans="1:39" s="89" customFormat="1">
      <c r="B60" s="755" t="s">
        <v>383</v>
      </c>
      <c r="C60" s="765">
        <v>522377.73071476113</v>
      </c>
      <c r="D60" s="108"/>
      <c r="E60" s="108"/>
      <c r="F60" s="108"/>
      <c r="G60" s="108"/>
      <c r="H60" s="324"/>
      <c r="I60" s="108"/>
      <c r="J60" s="108"/>
      <c r="L60" s="108"/>
      <c r="M60" s="108"/>
      <c r="N60" s="108"/>
      <c r="O60" s="108"/>
      <c r="P60" s="108"/>
      <c r="Q60" s="108"/>
      <c r="R60" s="108"/>
      <c r="S60" s="108"/>
      <c r="T60" s="80"/>
    </row>
    <row r="61" spans="1:39" s="89" customFormat="1">
      <c r="A61" s="129"/>
      <c r="B61" s="108"/>
      <c r="C61" s="108"/>
      <c r="D61" s="108"/>
      <c r="E61" s="108"/>
      <c r="F61" s="108"/>
      <c r="G61" s="108"/>
      <c r="H61" s="108"/>
      <c r="I61" s="108"/>
      <c r="J61" s="228"/>
      <c r="K61" s="228"/>
      <c r="L61" s="108"/>
      <c r="M61" s="108"/>
      <c r="N61" s="108"/>
      <c r="O61" s="76"/>
      <c r="P61" s="108"/>
      <c r="Q61" s="108"/>
      <c r="R61" s="108"/>
      <c r="S61" s="108"/>
      <c r="T61" s="80"/>
      <c r="U61" s="80"/>
      <c r="V61" s="80"/>
    </row>
    <row r="62" spans="1:39" s="89" customFormat="1">
      <c r="A62" s="412" t="s">
        <v>1099</v>
      </c>
      <c r="B62" s="236"/>
      <c r="C62" s="236"/>
      <c r="D62" s="236"/>
      <c r="E62" s="236"/>
      <c r="F62" s="236"/>
      <c r="G62" s="236"/>
      <c r="H62" s="236"/>
      <c r="I62" s="236"/>
      <c r="J62" s="228"/>
      <c r="K62" s="228"/>
      <c r="L62" s="102"/>
      <c r="M62" s="102"/>
      <c r="N62" s="102"/>
      <c r="O62" s="72"/>
      <c r="P62" s="102"/>
      <c r="Q62" s="102"/>
      <c r="R62" s="102"/>
      <c r="S62" s="102"/>
    </row>
    <row r="63" spans="1:39" s="89" customFormat="1">
      <c r="A63" s="159" t="str">
        <f>B42</f>
        <v>MAASVLAKTE Q16 ORANJE NASSAU (ONE)</v>
      </c>
      <c r="B63" s="46" t="s">
        <v>501</v>
      </c>
      <c r="C63" s="46" t="s">
        <v>502</v>
      </c>
      <c r="D63" s="46" t="s">
        <v>503</v>
      </c>
      <c r="E63" s="46" t="s">
        <v>5</v>
      </c>
      <c r="F63" s="46" t="s">
        <v>504</v>
      </c>
      <c r="G63" s="46" t="s">
        <v>505</v>
      </c>
      <c r="H63" s="46" t="s">
        <v>506</v>
      </c>
      <c r="I63" s="133" t="s">
        <v>661</v>
      </c>
      <c r="J63" s="82"/>
      <c r="K63" s="82"/>
      <c r="L63" s="216"/>
      <c r="M63" s="216"/>
      <c r="N63" s="216"/>
      <c r="O63" s="74"/>
      <c r="P63" s="216"/>
      <c r="Q63" s="216"/>
      <c r="R63" s="216"/>
      <c r="S63" s="216"/>
      <c r="T63" s="216"/>
      <c r="U63" s="216"/>
      <c r="V63" s="216"/>
      <c r="W63" s="102"/>
      <c r="X63" s="102"/>
      <c r="Y63" s="102"/>
      <c r="Z63" s="102"/>
      <c r="AA63" s="102"/>
      <c r="AB63" s="102"/>
      <c r="AC63" s="102"/>
      <c r="AD63" s="102"/>
      <c r="AE63" s="102"/>
      <c r="AF63" s="102"/>
      <c r="AG63" s="102"/>
      <c r="AH63" s="102"/>
      <c r="AI63" s="102"/>
      <c r="AJ63" s="102"/>
      <c r="AK63" s="102"/>
      <c r="AL63" s="102"/>
      <c r="AM63" s="102"/>
    </row>
    <row r="64" spans="1:39" s="89" customFormat="1">
      <c r="A64" s="325">
        <v>2013</v>
      </c>
      <c r="B64" s="1366"/>
      <c r="C64" s="1380"/>
      <c r="D64" s="1342"/>
      <c r="E64" s="1343"/>
      <c r="F64" s="1342"/>
      <c r="G64" s="1342"/>
      <c r="H64" s="1342"/>
      <c r="I64" s="1342"/>
      <c r="J64" s="82"/>
      <c r="K64" s="82"/>
      <c r="L64" s="216"/>
      <c r="M64" s="216"/>
      <c r="N64" s="216"/>
      <c r="O64" s="74"/>
      <c r="P64" s="216"/>
      <c r="Q64" s="216"/>
      <c r="R64" s="216"/>
      <c r="S64" s="216"/>
      <c r="T64" s="216"/>
      <c r="U64" s="216"/>
      <c r="V64" s="216"/>
      <c r="W64" s="102"/>
      <c r="X64" s="102"/>
      <c r="Y64" s="102"/>
      <c r="Z64" s="102"/>
      <c r="AA64" s="102"/>
      <c r="AB64" s="102"/>
      <c r="AC64" s="102"/>
      <c r="AD64" s="102"/>
      <c r="AE64" s="102"/>
      <c r="AF64" s="102"/>
      <c r="AG64" s="102"/>
      <c r="AH64" s="102"/>
      <c r="AI64" s="102"/>
      <c r="AJ64" s="102"/>
      <c r="AK64" s="102"/>
      <c r="AL64" s="102"/>
      <c r="AM64" s="102"/>
    </row>
    <row r="65" spans="1:42" s="89" customFormat="1">
      <c r="A65" s="173">
        <v>2014</v>
      </c>
      <c r="B65" s="1380"/>
      <c r="C65" s="1380"/>
      <c r="D65" s="1342"/>
      <c r="E65" s="1343"/>
      <c r="F65" s="1342"/>
      <c r="G65" s="1342"/>
      <c r="H65" s="1342"/>
      <c r="I65" s="1342"/>
      <c r="J65" s="111"/>
      <c r="K65" s="111"/>
      <c r="L65" s="108"/>
      <c r="M65" s="108"/>
      <c r="N65" s="108"/>
      <c r="O65" s="76"/>
      <c r="P65" s="108"/>
      <c r="Q65" s="108"/>
      <c r="R65" s="108"/>
      <c r="S65" s="108"/>
      <c r="T65" s="80"/>
      <c r="U65" s="80"/>
      <c r="V65" s="80"/>
      <c r="AN65" s="102"/>
      <c r="AO65" s="102"/>
      <c r="AP65" s="102"/>
    </row>
    <row r="66" spans="1:42" s="89" customFormat="1">
      <c r="A66" s="168">
        <v>2015</v>
      </c>
      <c r="B66" s="1380"/>
      <c r="C66" s="1380"/>
      <c r="D66" s="1342"/>
      <c r="E66" s="1343"/>
      <c r="F66" s="1342"/>
      <c r="G66" s="1342"/>
      <c r="H66" s="1342"/>
      <c r="I66" s="1342"/>
      <c r="J66" s="111"/>
      <c r="K66" s="111"/>
      <c r="L66" s="108"/>
      <c r="M66" s="108"/>
      <c r="N66" s="108"/>
      <c r="O66" s="76"/>
      <c r="P66" s="108"/>
      <c r="Q66" s="108"/>
      <c r="R66" s="108"/>
      <c r="S66" s="108"/>
      <c r="T66" s="80"/>
      <c r="U66" s="80"/>
      <c r="V66" s="80"/>
    </row>
    <row r="67" spans="1:42" s="89" customFormat="1">
      <c r="A67" s="325">
        <v>2016</v>
      </c>
      <c r="B67" s="1380"/>
      <c r="C67" s="1380"/>
      <c r="D67" s="1342"/>
      <c r="E67" s="1343"/>
      <c r="F67" s="1342"/>
      <c r="G67" s="1342"/>
      <c r="H67" s="1342"/>
      <c r="I67" s="1342"/>
      <c r="J67" s="111"/>
      <c r="K67" s="111"/>
      <c r="L67" s="108"/>
      <c r="M67" s="108"/>
      <c r="N67" s="108"/>
      <c r="O67" s="76"/>
      <c r="P67" s="108"/>
      <c r="Q67" s="108"/>
      <c r="R67" s="108"/>
      <c r="S67" s="108"/>
      <c r="T67" s="80"/>
      <c r="U67" s="80"/>
      <c r="V67" s="80"/>
    </row>
    <row r="68" spans="1:42" s="89" customFormat="1">
      <c r="A68" s="129"/>
      <c r="B68" s="108"/>
      <c r="C68" s="108"/>
      <c r="D68" s="108"/>
      <c r="E68" s="108"/>
      <c r="F68" s="108"/>
      <c r="G68" s="108"/>
      <c r="H68" s="108"/>
      <c r="I68" s="108"/>
      <c r="J68" s="228"/>
      <c r="K68" s="228"/>
      <c r="L68" s="108"/>
      <c r="M68" s="108"/>
      <c r="N68" s="108"/>
      <c r="O68" s="76"/>
      <c r="P68" s="108"/>
      <c r="Q68" s="108"/>
      <c r="R68" s="108"/>
      <c r="S68" s="108"/>
      <c r="T68" s="80"/>
      <c r="U68" s="80"/>
      <c r="V68" s="80"/>
    </row>
    <row r="69" spans="1:42" s="89" customFormat="1">
      <c r="A69" s="412" t="s">
        <v>1099</v>
      </c>
      <c r="B69" s="236"/>
      <c r="C69" s="236"/>
      <c r="D69" s="236"/>
      <c r="E69" s="236"/>
      <c r="F69" s="236"/>
      <c r="G69" s="236"/>
      <c r="H69" s="236"/>
      <c r="I69" s="236"/>
      <c r="J69" s="228"/>
      <c r="K69" s="228"/>
      <c r="L69" s="102"/>
      <c r="M69" s="102"/>
      <c r="N69" s="102"/>
      <c r="O69" s="72"/>
      <c r="P69" s="102"/>
      <c r="Q69" s="102"/>
      <c r="R69" s="102"/>
      <c r="S69" s="102"/>
    </row>
    <row r="70" spans="1:42" s="89" customFormat="1">
      <c r="A70" s="159" t="str">
        <f>B43</f>
        <v>MAASVLAKTE Q16 ORANJE NASSAU (ONE)</v>
      </c>
      <c r="B70" s="46" t="s">
        <v>501</v>
      </c>
      <c r="C70" s="46" t="s">
        <v>502</v>
      </c>
      <c r="D70" s="46" t="s">
        <v>503</v>
      </c>
      <c r="E70" s="46" t="s">
        <v>5</v>
      </c>
      <c r="F70" s="46" t="s">
        <v>504</v>
      </c>
      <c r="G70" s="46" t="s">
        <v>505</v>
      </c>
      <c r="H70" s="46" t="s">
        <v>506</v>
      </c>
      <c r="I70" s="133" t="s">
        <v>661</v>
      </c>
      <c r="J70" s="82"/>
      <c r="K70" s="82"/>
      <c r="L70" s="216"/>
      <c r="M70" s="216"/>
      <c r="N70" s="216"/>
      <c r="O70" s="74"/>
      <c r="P70" s="216"/>
      <c r="Q70" s="216"/>
      <c r="R70" s="216"/>
      <c r="S70" s="216"/>
      <c r="T70" s="216"/>
      <c r="U70" s="216"/>
      <c r="V70" s="216"/>
      <c r="W70" s="102"/>
      <c r="X70" s="102"/>
      <c r="Y70" s="102"/>
      <c r="Z70" s="102"/>
      <c r="AA70" s="102"/>
      <c r="AB70" s="102"/>
      <c r="AC70" s="102"/>
      <c r="AD70" s="102"/>
      <c r="AE70" s="102"/>
      <c r="AF70" s="102"/>
      <c r="AG70" s="102"/>
      <c r="AH70" s="102"/>
      <c r="AI70" s="102"/>
      <c r="AJ70" s="102"/>
      <c r="AK70" s="102"/>
      <c r="AL70" s="102"/>
      <c r="AM70" s="102"/>
    </row>
    <row r="71" spans="1:42" s="89" customFormat="1">
      <c r="A71" s="325">
        <v>2013</v>
      </c>
      <c r="B71" s="1366"/>
      <c r="C71" s="1380"/>
      <c r="D71" s="1342"/>
      <c r="E71" s="1343"/>
      <c r="F71" s="1342"/>
      <c r="G71" s="1342"/>
      <c r="H71" s="1342"/>
      <c r="I71" s="1342"/>
      <c r="J71" s="82"/>
      <c r="K71" s="82"/>
      <c r="L71" s="216"/>
      <c r="M71" s="216"/>
      <c r="N71" s="216"/>
      <c r="O71" s="74"/>
      <c r="P71" s="216"/>
      <c r="Q71" s="216"/>
      <c r="R71" s="216"/>
      <c r="S71" s="216"/>
      <c r="T71" s="216"/>
      <c r="U71" s="216"/>
      <c r="V71" s="216"/>
      <c r="W71" s="102"/>
      <c r="X71" s="102"/>
      <c r="Y71" s="102"/>
      <c r="Z71" s="102"/>
      <c r="AA71" s="102"/>
      <c r="AB71" s="102"/>
      <c r="AC71" s="102"/>
      <c r="AD71" s="102"/>
      <c r="AE71" s="102"/>
      <c r="AF71" s="102"/>
      <c r="AG71" s="102"/>
      <c r="AH71" s="102"/>
      <c r="AI71" s="102"/>
      <c r="AJ71" s="102"/>
      <c r="AK71" s="102"/>
      <c r="AL71" s="102"/>
      <c r="AM71" s="102"/>
    </row>
    <row r="72" spans="1:42" s="89" customFormat="1">
      <c r="A72" s="173">
        <v>2014</v>
      </c>
      <c r="B72" s="1380"/>
      <c r="C72" s="1380"/>
      <c r="D72" s="1342"/>
      <c r="E72" s="1343"/>
      <c r="F72" s="1342"/>
      <c r="G72" s="1342"/>
      <c r="H72" s="1342"/>
      <c r="I72" s="1342"/>
      <c r="J72" s="111"/>
      <c r="K72" s="111"/>
      <c r="L72" s="108"/>
      <c r="M72" s="108"/>
      <c r="N72" s="108"/>
      <c r="O72" s="76"/>
      <c r="P72" s="108"/>
      <c r="Q72" s="108"/>
      <c r="R72" s="108"/>
      <c r="S72" s="108"/>
      <c r="T72" s="80"/>
      <c r="U72" s="80"/>
      <c r="V72" s="80"/>
      <c r="AN72" s="102"/>
      <c r="AO72" s="102"/>
      <c r="AP72" s="102"/>
    </row>
    <row r="73" spans="1:42" s="89" customFormat="1">
      <c r="A73" s="168">
        <v>2015</v>
      </c>
      <c r="B73" s="1380"/>
      <c r="C73" s="1380"/>
      <c r="D73" s="1342"/>
      <c r="E73" s="1343"/>
      <c r="F73" s="1342"/>
      <c r="G73" s="1342"/>
      <c r="H73" s="1342"/>
      <c r="I73" s="1342"/>
      <c r="J73" s="111"/>
      <c r="K73" s="111"/>
      <c r="L73" s="108"/>
      <c r="M73" s="108"/>
      <c r="N73" s="108"/>
      <c r="O73" s="76"/>
      <c r="P73" s="108"/>
      <c r="Q73" s="108"/>
      <c r="R73" s="108"/>
      <c r="S73" s="108"/>
      <c r="T73" s="80"/>
      <c r="U73" s="80"/>
      <c r="V73" s="80"/>
    </row>
    <row r="74" spans="1:42" s="89" customFormat="1">
      <c r="A74" s="325">
        <v>2016</v>
      </c>
      <c r="B74" s="1380"/>
      <c r="C74" s="1380"/>
      <c r="D74" s="1342"/>
      <c r="E74" s="1343"/>
      <c r="F74" s="1342"/>
      <c r="G74" s="1342"/>
      <c r="H74" s="1342"/>
      <c r="I74" s="1342"/>
      <c r="J74" s="111"/>
      <c r="K74" s="111"/>
      <c r="L74" s="108"/>
      <c r="M74" s="108"/>
      <c r="N74" s="108"/>
      <c r="O74" s="76"/>
      <c r="P74" s="108"/>
      <c r="Q74" s="108"/>
      <c r="R74" s="108"/>
      <c r="S74" s="108"/>
      <c r="T74" s="80"/>
      <c r="U74" s="80"/>
      <c r="V74" s="80"/>
    </row>
    <row r="75" spans="1:42" s="89" customFormat="1">
      <c r="A75" s="129"/>
      <c r="B75" s="108"/>
      <c r="C75" s="108"/>
      <c r="D75" s="108"/>
      <c r="E75" s="108"/>
      <c r="F75" s="108"/>
      <c r="G75" s="108"/>
      <c r="H75" s="108"/>
      <c r="I75" s="108"/>
      <c r="J75" s="228"/>
      <c r="K75" s="228"/>
      <c r="L75" s="108"/>
      <c r="M75" s="108"/>
      <c r="N75" s="108"/>
      <c r="O75" s="76"/>
      <c r="P75" s="108"/>
      <c r="Q75" s="108"/>
      <c r="R75" s="108"/>
      <c r="S75" s="108"/>
      <c r="T75" s="80"/>
      <c r="U75" s="80"/>
      <c r="V75" s="80"/>
    </row>
    <row r="76" spans="1:42" s="89" customFormat="1">
      <c r="A76" s="412" t="s">
        <v>1099</v>
      </c>
      <c r="B76" s="236"/>
      <c r="C76" s="236"/>
      <c r="D76" s="236"/>
      <c r="E76" s="236"/>
      <c r="F76" s="236"/>
      <c r="G76" s="236"/>
      <c r="H76" s="236"/>
      <c r="I76" s="236"/>
      <c r="J76" s="228"/>
      <c r="K76" s="228"/>
      <c r="L76" s="102"/>
      <c r="M76" s="102"/>
      <c r="N76" s="102"/>
      <c r="O76" s="72"/>
      <c r="P76" s="102"/>
      <c r="Q76" s="102"/>
      <c r="R76" s="102"/>
      <c r="S76" s="102"/>
    </row>
    <row r="77" spans="1:42" s="89" customFormat="1">
      <c r="A77" s="159" t="str">
        <f>B44</f>
        <v>MAASVLAKTE Q16 ORANJE NASSAU (ONE)</v>
      </c>
      <c r="B77" s="46" t="s">
        <v>501</v>
      </c>
      <c r="C77" s="46" t="s">
        <v>502</v>
      </c>
      <c r="D77" s="46" t="s">
        <v>503</v>
      </c>
      <c r="E77" s="46" t="s">
        <v>5</v>
      </c>
      <c r="F77" s="46" t="s">
        <v>504</v>
      </c>
      <c r="G77" s="46" t="s">
        <v>505</v>
      </c>
      <c r="H77" s="46" t="s">
        <v>506</v>
      </c>
      <c r="I77" s="133" t="s">
        <v>661</v>
      </c>
      <c r="J77" s="82"/>
      <c r="K77" s="82"/>
      <c r="L77" s="216"/>
      <c r="M77" s="216"/>
      <c r="N77" s="216"/>
      <c r="O77" s="74"/>
      <c r="P77" s="216"/>
      <c r="Q77" s="216"/>
      <c r="R77" s="216"/>
      <c r="S77" s="216"/>
      <c r="T77" s="216"/>
      <c r="U77" s="216"/>
      <c r="V77" s="216"/>
      <c r="W77" s="102"/>
      <c r="X77" s="102"/>
      <c r="Y77" s="102"/>
      <c r="Z77" s="102"/>
      <c r="AA77" s="102"/>
      <c r="AB77" s="102"/>
      <c r="AC77" s="102"/>
      <c r="AD77" s="102"/>
      <c r="AE77" s="102"/>
      <c r="AF77" s="102"/>
      <c r="AG77" s="102"/>
      <c r="AH77" s="102"/>
      <c r="AI77" s="102"/>
      <c r="AJ77" s="102"/>
      <c r="AK77" s="102"/>
      <c r="AL77" s="102"/>
      <c r="AM77" s="102"/>
    </row>
    <row r="78" spans="1:42" s="89" customFormat="1">
      <c r="A78" s="325">
        <v>2013</v>
      </c>
      <c r="B78" s="1366"/>
      <c r="C78" s="1380"/>
      <c r="D78" s="1342"/>
      <c r="E78" s="1343"/>
      <c r="F78" s="1342"/>
      <c r="G78" s="1342"/>
      <c r="H78" s="1342"/>
      <c r="I78" s="1342"/>
      <c r="J78" s="82"/>
      <c r="K78" s="82"/>
      <c r="L78" s="216"/>
      <c r="M78" s="216"/>
      <c r="N78" s="216"/>
      <c r="O78" s="74"/>
      <c r="P78" s="216"/>
      <c r="Q78" s="216"/>
      <c r="R78" s="216"/>
      <c r="S78" s="216"/>
      <c r="T78" s="216"/>
      <c r="U78" s="216"/>
      <c r="V78" s="216"/>
      <c r="W78" s="102"/>
      <c r="X78" s="102"/>
      <c r="Y78" s="102"/>
      <c r="Z78" s="102"/>
      <c r="AA78" s="102"/>
      <c r="AB78" s="102"/>
      <c r="AC78" s="102"/>
      <c r="AD78" s="102"/>
      <c r="AE78" s="102"/>
      <c r="AF78" s="102"/>
      <c r="AG78" s="102"/>
      <c r="AH78" s="102"/>
      <c r="AI78" s="102"/>
      <c r="AJ78" s="102"/>
      <c r="AK78" s="102"/>
      <c r="AL78" s="102"/>
      <c r="AM78" s="102"/>
    </row>
    <row r="79" spans="1:42" s="89" customFormat="1">
      <c r="A79" s="173">
        <v>2014</v>
      </c>
      <c r="B79" s="1342"/>
      <c r="C79" s="1380"/>
      <c r="D79" s="1342"/>
      <c r="E79" s="1343"/>
      <c r="F79" s="1342"/>
      <c r="G79" s="1342"/>
      <c r="H79" s="1342"/>
      <c r="I79" s="1342"/>
      <c r="J79" s="111"/>
      <c r="K79" s="111"/>
      <c r="L79" s="108"/>
      <c r="M79" s="108"/>
      <c r="N79" s="108"/>
      <c r="O79" s="76"/>
      <c r="P79" s="108"/>
      <c r="Q79" s="108"/>
      <c r="R79" s="108"/>
      <c r="S79" s="108"/>
      <c r="T79" s="80"/>
      <c r="U79" s="80"/>
      <c r="V79" s="80"/>
      <c r="AN79" s="102"/>
      <c r="AO79" s="102"/>
      <c r="AP79" s="102"/>
    </row>
    <row r="80" spans="1:42" s="89" customFormat="1">
      <c r="A80" s="168">
        <v>2015</v>
      </c>
      <c r="B80" s="1342"/>
      <c r="C80" s="1380"/>
      <c r="D80" s="1342"/>
      <c r="E80" s="1343"/>
      <c r="F80" s="1342"/>
      <c r="G80" s="1342"/>
      <c r="H80" s="1342"/>
      <c r="I80" s="1342"/>
      <c r="J80" s="111"/>
      <c r="K80" s="111"/>
      <c r="L80" s="108"/>
      <c r="M80" s="108"/>
      <c r="N80" s="108"/>
      <c r="O80" s="76"/>
      <c r="P80" s="108"/>
      <c r="Q80" s="108"/>
      <c r="R80" s="108"/>
      <c r="S80" s="108"/>
      <c r="T80" s="80"/>
      <c r="U80" s="80"/>
      <c r="V80" s="80"/>
    </row>
    <row r="81" spans="1:42" s="89" customFormat="1">
      <c r="A81" s="325">
        <v>2016</v>
      </c>
      <c r="B81" s="1342"/>
      <c r="C81" s="1380"/>
      <c r="D81" s="1342"/>
      <c r="E81" s="1343"/>
      <c r="F81" s="1342"/>
      <c r="G81" s="1342"/>
      <c r="H81" s="1342"/>
      <c r="I81" s="1342"/>
      <c r="J81" s="111"/>
      <c r="K81" s="111"/>
      <c r="L81" s="108"/>
      <c r="M81" s="108"/>
      <c r="N81" s="108"/>
      <c r="O81" s="76"/>
      <c r="P81" s="108"/>
      <c r="Q81" s="108"/>
      <c r="R81" s="108"/>
      <c r="S81" s="108"/>
      <c r="T81" s="80"/>
      <c r="U81" s="80"/>
      <c r="V81" s="80"/>
    </row>
    <row r="82" spans="1:42" s="89" customFormat="1">
      <c r="A82" s="129"/>
      <c r="B82" s="108"/>
      <c r="C82" s="108"/>
      <c r="D82" s="108"/>
      <c r="E82" s="108"/>
      <c r="F82" s="108"/>
      <c r="G82" s="108"/>
      <c r="H82" s="108"/>
      <c r="I82" s="108"/>
      <c r="J82" s="228"/>
      <c r="K82" s="228"/>
      <c r="L82" s="108"/>
      <c r="M82" s="108"/>
      <c r="N82" s="108"/>
      <c r="O82" s="76"/>
      <c r="P82" s="108"/>
      <c r="Q82" s="108"/>
      <c r="R82" s="108"/>
      <c r="S82" s="108"/>
      <c r="T82" s="80"/>
      <c r="U82" s="80"/>
      <c r="V82" s="80"/>
    </row>
    <row r="83" spans="1:42" s="89" customFormat="1">
      <c r="A83" s="412" t="s">
        <v>1099</v>
      </c>
      <c r="B83" s="236"/>
      <c r="C83" s="236"/>
      <c r="D83" s="236"/>
      <c r="E83" s="236"/>
      <c r="F83" s="236"/>
      <c r="G83" s="236"/>
      <c r="H83" s="236"/>
      <c r="I83" s="236"/>
      <c r="J83" s="228"/>
      <c r="K83" s="228"/>
      <c r="L83" s="102"/>
      <c r="M83" s="102"/>
      <c r="N83" s="102"/>
      <c r="O83" s="72"/>
      <c r="P83" s="102"/>
      <c r="Q83" s="102"/>
      <c r="R83" s="102"/>
      <c r="S83" s="102"/>
    </row>
    <row r="84" spans="1:42" s="89" customFormat="1">
      <c r="A84" s="159" t="str">
        <f>B45</f>
        <v>MAASVLAKTE Q16 ORANJE NASSAU (ONE)</v>
      </c>
      <c r="B84" s="46" t="s">
        <v>501</v>
      </c>
      <c r="C84" s="46" t="s">
        <v>502</v>
      </c>
      <c r="D84" s="46" t="s">
        <v>503</v>
      </c>
      <c r="E84" s="46" t="s">
        <v>5</v>
      </c>
      <c r="F84" s="46" t="s">
        <v>504</v>
      </c>
      <c r="G84" s="46" t="s">
        <v>505</v>
      </c>
      <c r="H84" s="46" t="s">
        <v>506</v>
      </c>
      <c r="I84" s="133" t="s">
        <v>661</v>
      </c>
      <c r="J84" s="82"/>
      <c r="K84" s="82"/>
      <c r="L84" s="216"/>
      <c r="M84" s="216"/>
      <c r="N84" s="216"/>
      <c r="O84" s="74"/>
      <c r="P84" s="216"/>
      <c r="Q84" s="216"/>
      <c r="R84" s="216"/>
      <c r="S84" s="216"/>
      <c r="T84" s="216"/>
      <c r="U84" s="216"/>
      <c r="V84" s="216"/>
      <c r="W84" s="102"/>
      <c r="X84" s="102"/>
      <c r="Y84" s="102"/>
      <c r="Z84" s="102"/>
      <c r="AA84" s="102"/>
      <c r="AB84" s="102"/>
      <c r="AC84" s="102"/>
      <c r="AD84" s="102"/>
      <c r="AE84" s="102"/>
      <c r="AF84" s="102"/>
      <c r="AG84" s="102"/>
      <c r="AH84" s="102"/>
      <c r="AI84" s="102"/>
      <c r="AJ84" s="102"/>
      <c r="AK84" s="102"/>
      <c r="AL84" s="102"/>
      <c r="AM84" s="102"/>
    </row>
    <row r="85" spans="1:42" s="89" customFormat="1">
      <c r="A85" s="325">
        <v>2013</v>
      </c>
      <c r="B85" s="1366"/>
      <c r="C85" s="1380"/>
      <c r="D85" s="1342"/>
      <c r="E85" s="1343"/>
      <c r="F85" s="1342"/>
      <c r="G85" s="1342"/>
      <c r="H85" s="1342"/>
      <c r="I85" s="1342"/>
      <c r="J85" s="82"/>
      <c r="K85" s="82"/>
      <c r="L85" s="216"/>
      <c r="M85" s="216"/>
      <c r="N85" s="216"/>
      <c r="O85" s="74"/>
      <c r="P85" s="216"/>
      <c r="Q85" s="216"/>
      <c r="R85" s="216"/>
      <c r="S85" s="216"/>
      <c r="T85" s="216"/>
      <c r="U85" s="216"/>
      <c r="V85" s="216"/>
      <c r="W85" s="102"/>
      <c r="X85" s="102"/>
      <c r="Y85" s="102"/>
      <c r="Z85" s="102"/>
      <c r="AA85" s="102"/>
      <c r="AB85" s="102"/>
      <c r="AC85" s="102"/>
      <c r="AD85" s="102"/>
      <c r="AE85" s="102"/>
      <c r="AF85" s="102"/>
      <c r="AG85" s="102"/>
      <c r="AH85" s="102"/>
      <c r="AI85" s="102"/>
      <c r="AJ85" s="102"/>
      <c r="AK85" s="102"/>
      <c r="AL85" s="102"/>
      <c r="AM85" s="102"/>
    </row>
    <row r="86" spans="1:42" s="89" customFormat="1">
      <c r="A86" s="173">
        <v>2014</v>
      </c>
      <c r="B86" s="1380"/>
      <c r="C86" s="1380"/>
      <c r="D86" s="1342"/>
      <c r="E86" s="1343"/>
      <c r="F86" s="1342"/>
      <c r="G86" s="1342"/>
      <c r="H86" s="1342"/>
      <c r="I86" s="1342"/>
      <c r="J86" s="111"/>
      <c r="K86" s="111"/>
      <c r="L86" s="108"/>
      <c r="M86" s="108"/>
      <c r="N86" s="108"/>
      <c r="O86" s="76"/>
      <c r="P86" s="108"/>
      <c r="Q86" s="108"/>
      <c r="R86" s="108"/>
      <c r="S86" s="108"/>
      <c r="T86" s="80"/>
      <c r="U86" s="80"/>
      <c r="V86" s="80"/>
      <c r="AN86" s="102"/>
      <c r="AO86" s="102"/>
      <c r="AP86" s="102"/>
    </row>
    <row r="87" spans="1:42" s="89" customFormat="1">
      <c r="A87" s="168">
        <v>2015</v>
      </c>
      <c r="B87" s="1380"/>
      <c r="C87" s="1380"/>
      <c r="D87" s="1342"/>
      <c r="E87" s="1343"/>
      <c r="F87" s="1342"/>
      <c r="G87" s="1342"/>
      <c r="H87" s="1342"/>
      <c r="I87" s="1342"/>
      <c r="J87" s="111"/>
      <c r="K87" s="111"/>
      <c r="L87" s="108"/>
      <c r="M87" s="108"/>
      <c r="N87" s="108"/>
      <c r="O87" s="76"/>
      <c r="P87" s="108"/>
      <c r="Q87" s="108"/>
      <c r="R87" s="108"/>
      <c r="S87" s="108"/>
      <c r="T87" s="80"/>
      <c r="U87" s="80"/>
      <c r="V87" s="80"/>
    </row>
    <row r="88" spans="1:42" s="89" customFormat="1">
      <c r="A88" s="325">
        <v>2016</v>
      </c>
      <c r="B88" s="1380"/>
      <c r="C88" s="1380"/>
      <c r="D88" s="1342"/>
      <c r="E88" s="1343"/>
      <c r="F88" s="1342"/>
      <c r="G88" s="1342"/>
      <c r="H88" s="1342"/>
      <c r="I88" s="1342"/>
      <c r="J88" s="111"/>
      <c r="K88" s="111"/>
      <c r="L88" s="108"/>
      <c r="M88" s="108"/>
      <c r="N88" s="108"/>
      <c r="O88" s="76"/>
      <c r="P88" s="108"/>
      <c r="Q88" s="108"/>
      <c r="R88" s="108"/>
      <c r="S88" s="108"/>
      <c r="T88" s="80"/>
      <c r="U88" s="80"/>
      <c r="V88" s="80"/>
    </row>
    <row r="89" spans="1:42" s="89" customFormat="1">
      <c r="A89" s="129"/>
      <c r="B89" s="108"/>
      <c r="C89" s="108"/>
      <c r="D89" s="108"/>
      <c r="E89" s="108"/>
      <c r="F89" s="108"/>
      <c r="G89" s="108"/>
      <c r="H89" s="108"/>
      <c r="I89" s="108"/>
      <c r="J89" s="228"/>
      <c r="K89" s="228"/>
      <c r="L89" s="108"/>
      <c r="M89" s="108"/>
      <c r="N89" s="108"/>
      <c r="O89" s="76"/>
      <c r="P89" s="108"/>
      <c r="Q89" s="108"/>
      <c r="R89" s="108"/>
      <c r="S89" s="108"/>
      <c r="T89" s="80"/>
      <c r="U89" s="80"/>
      <c r="V89" s="80"/>
    </row>
    <row r="90" spans="1:42" s="89" customFormat="1">
      <c r="A90" s="412" t="s">
        <v>1099</v>
      </c>
      <c r="B90" s="236"/>
      <c r="C90" s="236"/>
      <c r="D90" s="236"/>
      <c r="E90" s="236"/>
      <c r="F90" s="236"/>
      <c r="G90" s="236"/>
      <c r="H90" s="236"/>
      <c r="I90" s="236"/>
      <c r="J90" s="228"/>
      <c r="K90" s="228"/>
      <c r="L90" s="102"/>
      <c r="M90" s="102"/>
      <c r="N90" s="102"/>
      <c r="O90" s="72"/>
      <c r="P90" s="102"/>
      <c r="Q90" s="102"/>
      <c r="R90" s="102"/>
      <c r="S90" s="102"/>
    </row>
    <row r="91" spans="1:42" s="89" customFormat="1">
      <c r="A91" s="159" t="str">
        <f>B46</f>
        <v>HEMRIK/DONKERBROEK (TULIP OIL)</v>
      </c>
      <c r="B91" s="46" t="s">
        <v>501</v>
      </c>
      <c r="C91" s="46" t="s">
        <v>502</v>
      </c>
      <c r="D91" s="46" t="s">
        <v>503</v>
      </c>
      <c r="E91" s="46" t="s">
        <v>5</v>
      </c>
      <c r="F91" s="46" t="s">
        <v>504</v>
      </c>
      <c r="G91" s="46" t="s">
        <v>505</v>
      </c>
      <c r="H91" s="46" t="s">
        <v>506</v>
      </c>
      <c r="I91" s="133" t="s">
        <v>661</v>
      </c>
      <c r="J91" s="82"/>
      <c r="K91" s="82"/>
      <c r="L91" s="216"/>
      <c r="M91" s="216"/>
      <c r="N91" s="216"/>
      <c r="O91" s="74"/>
      <c r="P91" s="216"/>
      <c r="Q91" s="216"/>
      <c r="R91" s="216"/>
      <c r="S91" s="216"/>
      <c r="T91" s="216"/>
      <c r="U91" s="216"/>
      <c r="V91" s="216"/>
      <c r="W91" s="102"/>
      <c r="X91" s="102"/>
      <c r="Y91" s="102"/>
      <c r="Z91" s="102"/>
      <c r="AA91" s="102"/>
      <c r="AB91" s="102"/>
      <c r="AC91" s="102"/>
      <c r="AD91" s="102"/>
      <c r="AE91" s="102"/>
      <c r="AF91" s="102"/>
      <c r="AG91" s="102"/>
      <c r="AH91" s="102"/>
      <c r="AI91" s="102"/>
      <c r="AJ91" s="102"/>
      <c r="AK91" s="102"/>
      <c r="AL91" s="102"/>
      <c r="AM91" s="102"/>
    </row>
    <row r="92" spans="1:42" s="233" customFormat="1">
      <c r="A92" s="325">
        <v>2013</v>
      </c>
      <c r="B92" s="1366"/>
      <c r="C92" s="1380"/>
      <c r="D92" s="1342"/>
      <c r="E92" s="1343"/>
      <c r="F92" s="1342"/>
      <c r="G92" s="1342"/>
      <c r="H92" s="1342"/>
      <c r="I92" s="1342"/>
      <c r="J92" s="82"/>
      <c r="K92" s="82"/>
      <c r="L92" s="228"/>
      <c r="M92" s="228"/>
      <c r="N92" s="228"/>
      <c r="O92" s="81"/>
      <c r="P92" s="228"/>
      <c r="Q92" s="228"/>
      <c r="R92" s="228"/>
      <c r="S92" s="228"/>
      <c r="T92" s="228"/>
      <c r="U92" s="228"/>
      <c r="V92" s="228"/>
      <c r="W92" s="228"/>
      <c r="X92" s="228"/>
      <c r="Y92" s="228"/>
      <c r="Z92" s="228"/>
      <c r="AA92" s="228"/>
      <c r="AB92" s="228"/>
      <c r="AC92" s="228"/>
      <c r="AD92" s="228"/>
      <c r="AE92" s="228"/>
      <c r="AF92" s="228"/>
      <c r="AG92" s="228"/>
      <c r="AH92" s="228"/>
      <c r="AI92" s="228"/>
      <c r="AJ92" s="228"/>
      <c r="AK92" s="228"/>
      <c r="AL92" s="228"/>
      <c r="AM92" s="228"/>
    </row>
    <row r="93" spans="1:42" s="89" customFormat="1">
      <c r="A93" s="173">
        <v>2014</v>
      </c>
      <c r="B93" s="1342"/>
      <c r="C93" s="1380"/>
      <c r="D93" s="1342"/>
      <c r="E93" s="1343"/>
      <c r="F93" s="1342"/>
      <c r="G93" s="1342"/>
      <c r="H93" s="1342"/>
      <c r="I93" s="1342"/>
      <c r="J93" s="111"/>
      <c r="K93" s="111"/>
      <c r="L93" s="108"/>
      <c r="M93" s="108"/>
      <c r="N93" s="108"/>
      <c r="O93" s="76"/>
      <c r="P93" s="108"/>
      <c r="Q93" s="108"/>
      <c r="R93" s="108"/>
      <c r="S93" s="108"/>
      <c r="T93" s="80"/>
      <c r="U93" s="80"/>
      <c r="V93" s="80"/>
      <c r="AN93" s="102"/>
      <c r="AO93" s="102"/>
      <c r="AP93" s="102"/>
    </row>
    <row r="94" spans="1:42" s="89" customFormat="1">
      <c r="A94" s="168">
        <v>2015</v>
      </c>
      <c r="B94" s="1342"/>
      <c r="C94" s="1380"/>
      <c r="D94" s="1342"/>
      <c r="E94" s="1343"/>
      <c r="F94" s="1342"/>
      <c r="G94" s="1342"/>
      <c r="H94" s="1342"/>
      <c r="I94" s="1342"/>
      <c r="J94" s="111"/>
      <c r="K94" s="111"/>
      <c r="L94" s="108"/>
      <c r="M94" s="108"/>
      <c r="N94" s="108"/>
      <c r="O94" s="76"/>
      <c r="P94" s="108"/>
      <c r="Q94" s="108"/>
      <c r="R94" s="108"/>
      <c r="S94" s="108"/>
      <c r="T94" s="80"/>
      <c r="U94" s="80"/>
      <c r="V94" s="80"/>
    </row>
    <row r="95" spans="1:42" s="89" customFormat="1">
      <c r="A95" s="325">
        <v>2016</v>
      </c>
      <c r="B95" s="1342"/>
      <c r="C95" s="1380"/>
      <c r="D95" s="1342"/>
      <c r="E95" s="1343"/>
      <c r="F95" s="1342"/>
      <c r="G95" s="1342"/>
      <c r="H95" s="1342"/>
      <c r="I95" s="1342"/>
      <c r="J95" s="111"/>
      <c r="K95" s="111"/>
      <c r="L95" s="108"/>
      <c r="M95" s="108"/>
      <c r="N95" s="108"/>
      <c r="O95" s="76"/>
      <c r="P95" s="108"/>
      <c r="Q95" s="108"/>
      <c r="R95" s="108"/>
      <c r="S95" s="108"/>
      <c r="T95" s="80"/>
      <c r="U95" s="80"/>
      <c r="V95" s="80"/>
    </row>
    <row r="96" spans="1:42" s="89" customFormat="1">
      <c r="A96" s="129"/>
      <c r="B96" s="108"/>
      <c r="C96" s="108"/>
      <c r="D96" s="108"/>
      <c r="E96" s="108"/>
      <c r="F96" s="108"/>
      <c r="G96" s="108"/>
      <c r="H96" s="108"/>
      <c r="I96" s="108"/>
      <c r="J96" s="228"/>
      <c r="K96" s="228"/>
      <c r="L96" s="108"/>
      <c r="M96" s="108"/>
      <c r="N96" s="108"/>
      <c r="O96" s="76"/>
      <c r="P96" s="108"/>
      <c r="Q96" s="108"/>
      <c r="R96" s="108"/>
      <c r="S96" s="108"/>
      <c r="T96" s="80"/>
      <c r="U96" s="80"/>
      <c r="V96" s="80"/>
    </row>
    <row r="97" spans="1:42" s="89" customFormat="1">
      <c r="A97" s="412" t="s">
        <v>1099</v>
      </c>
      <c r="B97" s="236"/>
      <c r="C97" s="236"/>
      <c r="D97" s="236"/>
      <c r="E97" s="236"/>
      <c r="F97" s="236"/>
      <c r="G97" s="236"/>
      <c r="H97" s="236"/>
      <c r="I97" s="236"/>
      <c r="J97" s="228"/>
      <c r="K97" s="228"/>
      <c r="L97" s="102"/>
      <c r="M97" s="102"/>
      <c r="N97" s="102"/>
      <c r="O97" s="72"/>
      <c r="P97" s="102"/>
      <c r="Q97" s="102"/>
      <c r="R97" s="102"/>
      <c r="S97" s="102"/>
    </row>
    <row r="98" spans="1:42" s="89" customFormat="1">
      <c r="A98" s="159" t="str">
        <f>B47</f>
        <v>BERGERMEER (TAQA-UGS)</v>
      </c>
      <c r="B98" s="46" t="s">
        <v>501</v>
      </c>
      <c r="C98" s="46" t="s">
        <v>502</v>
      </c>
      <c r="D98" s="46" t="s">
        <v>503</v>
      </c>
      <c r="E98" s="46" t="s">
        <v>5</v>
      </c>
      <c r="F98" s="46" t="s">
        <v>504</v>
      </c>
      <c r="G98" s="46" t="s">
        <v>505</v>
      </c>
      <c r="H98" s="46" t="s">
        <v>506</v>
      </c>
      <c r="I98" s="133" t="s">
        <v>661</v>
      </c>
      <c r="J98" s="82"/>
      <c r="K98" s="82"/>
      <c r="L98" s="216"/>
      <c r="M98" s="216"/>
      <c r="N98" s="216"/>
      <c r="O98" s="74"/>
      <c r="P98" s="216"/>
      <c r="Q98" s="216"/>
      <c r="R98" s="216"/>
      <c r="S98" s="216"/>
      <c r="T98" s="216"/>
      <c r="U98" s="216"/>
      <c r="V98" s="216"/>
      <c r="W98" s="102"/>
      <c r="X98" s="102"/>
      <c r="Y98" s="102"/>
      <c r="Z98" s="102"/>
      <c r="AA98" s="102"/>
      <c r="AB98" s="102"/>
      <c r="AC98" s="102"/>
      <c r="AD98" s="102"/>
      <c r="AE98" s="102"/>
      <c r="AF98" s="102"/>
      <c r="AG98" s="102"/>
      <c r="AH98" s="102"/>
      <c r="AI98" s="102"/>
      <c r="AJ98" s="102"/>
      <c r="AK98" s="102"/>
      <c r="AL98" s="102"/>
      <c r="AM98" s="102"/>
    </row>
    <row r="99" spans="1:42" s="89" customFormat="1">
      <c r="A99" s="325">
        <v>2013</v>
      </c>
      <c r="B99" s="1366"/>
      <c r="C99" s="1380"/>
      <c r="D99" s="1342"/>
      <c r="E99" s="1343"/>
      <c r="F99" s="1342"/>
      <c r="G99" s="1342"/>
      <c r="H99" s="1342"/>
      <c r="I99" s="1342"/>
      <c r="J99" s="82"/>
      <c r="K99" s="82"/>
      <c r="L99" s="216"/>
      <c r="M99" s="216"/>
      <c r="N99" s="216"/>
      <c r="O99" s="74"/>
      <c r="P99" s="216"/>
      <c r="Q99" s="216"/>
      <c r="R99" s="216"/>
      <c r="S99" s="216"/>
      <c r="T99" s="216"/>
      <c r="U99" s="216"/>
      <c r="V99" s="216"/>
      <c r="W99" s="102"/>
      <c r="X99" s="102"/>
      <c r="Y99" s="102"/>
      <c r="Z99" s="102"/>
      <c r="AA99" s="102"/>
      <c r="AB99" s="102"/>
      <c r="AC99" s="102"/>
      <c r="AD99" s="102"/>
      <c r="AE99" s="102"/>
      <c r="AF99" s="102"/>
      <c r="AG99" s="102"/>
      <c r="AH99" s="102"/>
      <c r="AI99" s="102"/>
      <c r="AJ99" s="102"/>
      <c r="AK99" s="102"/>
      <c r="AL99" s="102"/>
      <c r="AM99" s="102"/>
    </row>
    <row r="100" spans="1:42" s="89" customFormat="1">
      <c r="A100" s="173">
        <v>2014</v>
      </c>
      <c r="B100" s="1380"/>
      <c r="C100" s="1380"/>
      <c r="D100" s="1342"/>
      <c r="E100" s="1343"/>
      <c r="F100" s="1342"/>
      <c r="G100" s="1342"/>
      <c r="H100" s="1342"/>
      <c r="I100" s="1342"/>
      <c r="J100" s="111"/>
      <c r="K100" s="111"/>
      <c r="L100" s="108"/>
      <c r="M100" s="108"/>
      <c r="N100" s="108"/>
      <c r="O100" s="76"/>
      <c r="P100" s="108"/>
      <c r="Q100" s="108"/>
      <c r="R100" s="108"/>
      <c r="S100" s="108"/>
      <c r="T100" s="80"/>
      <c r="U100" s="80"/>
      <c r="V100" s="80"/>
      <c r="AN100" s="102"/>
      <c r="AO100" s="102"/>
      <c r="AP100" s="102"/>
    </row>
    <row r="101" spans="1:42" s="89" customFormat="1">
      <c r="A101" s="168">
        <v>2015</v>
      </c>
      <c r="B101" s="1380"/>
      <c r="C101" s="1380"/>
      <c r="D101" s="1342"/>
      <c r="E101" s="1343"/>
      <c r="F101" s="1342"/>
      <c r="G101" s="1342"/>
      <c r="H101" s="1342"/>
      <c r="I101" s="1342"/>
      <c r="J101" s="111"/>
      <c r="K101" s="111"/>
      <c r="L101" s="108"/>
      <c r="M101" s="108"/>
      <c r="N101" s="108"/>
      <c r="O101" s="76"/>
      <c r="P101" s="108"/>
      <c r="Q101" s="108"/>
      <c r="R101" s="108"/>
      <c r="S101" s="108"/>
      <c r="T101" s="80"/>
      <c r="U101" s="80"/>
      <c r="V101" s="80"/>
    </row>
    <row r="102" spans="1:42" s="89" customFormat="1">
      <c r="A102" s="325">
        <v>2016</v>
      </c>
      <c r="B102" s="1380"/>
      <c r="C102" s="1380"/>
      <c r="D102" s="1342"/>
      <c r="E102" s="1343"/>
      <c r="F102" s="1342"/>
      <c r="G102" s="1342"/>
      <c r="H102" s="1342"/>
      <c r="I102" s="1342"/>
      <c r="J102" s="111"/>
      <c r="K102" s="111"/>
      <c r="L102" s="108"/>
      <c r="M102" s="108"/>
      <c r="N102" s="108"/>
      <c r="O102" s="76"/>
      <c r="P102" s="108"/>
      <c r="Q102" s="108"/>
      <c r="R102" s="108"/>
      <c r="S102" s="108"/>
      <c r="T102" s="80"/>
      <c r="U102" s="80"/>
      <c r="V102" s="80"/>
    </row>
    <row r="103" spans="1:42" s="89" customFormat="1">
      <c r="A103" s="129"/>
      <c r="B103" s="108"/>
      <c r="C103" s="108"/>
      <c r="D103" s="108"/>
      <c r="E103" s="108"/>
      <c r="F103" s="108"/>
      <c r="G103" s="108"/>
      <c r="H103" s="108"/>
      <c r="I103" s="108"/>
      <c r="J103" s="228"/>
      <c r="K103" s="228"/>
      <c r="L103" s="108"/>
      <c r="M103" s="108"/>
      <c r="N103" s="108"/>
      <c r="O103" s="76"/>
      <c r="P103" s="108"/>
      <c r="Q103" s="108"/>
      <c r="R103" s="108"/>
      <c r="S103" s="108"/>
      <c r="T103" s="80"/>
      <c r="U103" s="80"/>
      <c r="V103" s="80"/>
    </row>
    <row r="104" spans="1:42" s="89" customFormat="1">
      <c r="A104" s="412" t="s">
        <v>1099</v>
      </c>
      <c r="B104" s="236"/>
      <c r="C104" s="236"/>
      <c r="D104" s="236"/>
      <c r="E104" s="236"/>
      <c r="F104" s="236"/>
      <c r="G104" s="236"/>
      <c r="H104" s="236"/>
      <c r="I104" s="236"/>
      <c r="J104" s="228"/>
      <c r="K104" s="228"/>
      <c r="L104" s="102"/>
      <c r="M104" s="102"/>
      <c r="N104" s="102"/>
      <c r="O104" s="72"/>
      <c r="P104" s="102"/>
      <c r="Q104" s="102"/>
      <c r="R104" s="102"/>
      <c r="S104" s="102"/>
    </row>
    <row r="105" spans="1:42" s="89" customFormat="1">
      <c r="A105" s="159" t="str">
        <f>B48</f>
        <v>BERGERMEER (TAQA-UGS)</v>
      </c>
      <c r="B105" s="46" t="s">
        <v>501</v>
      </c>
      <c r="C105" s="46" t="s">
        <v>502</v>
      </c>
      <c r="D105" s="46" t="s">
        <v>503</v>
      </c>
      <c r="E105" s="46" t="s">
        <v>5</v>
      </c>
      <c r="F105" s="46" t="s">
        <v>504</v>
      </c>
      <c r="G105" s="46" t="s">
        <v>505</v>
      </c>
      <c r="H105" s="46" t="s">
        <v>506</v>
      </c>
      <c r="I105" s="133" t="s">
        <v>661</v>
      </c>
      <c r="J105" s="82"/>
      <c r="K105" s="82"/>
      <c r="L105" s="216"/>
      <c r="M105" s="216"/>
      <c r="N105" s="216"/>
      <c r="O105" s="74"/>
      <c r="P105" s="216"/>
      <c r="Q105" s="216"/>
      <c r="R105" s="216"/>
      <c r="S105" s="216"/>
      <c r="T105" s="216"/>
      <c r="U105" s="216"/>
      <c r="V105" s="216"/>
      <c r="W105" s="102"/>
      <c r="X105" s="102"/>
      <c r="Y105" s="102"/>
      <c r="Z105" s="102"/>
      <c r="AA105" s="102"/>
      <c r="AB105" s="102"/>
      <c r="AC105" s="102"/>
      <c r="AD105" s="102"/>
      <c r="AE105" s="102"/>
      <c r="AF105" s="102"/>
      <c r="AG105" s="102"/>
      <c r="AH105" s="102"/>
      <c r="AI105" s="102"/>
      <c r="AJ105" s="102"/>
      <c r="AK105" s="102"/>
      <c r="AL105" s="102"/>
      <c r="AM105" s="102"/>
    </row>
    <row r="106" spans="1:42" s="233" customFormat="1">
      <c r="A106" s="325">
        <v>2013</v>
      </c>
      <c r="B106" s="1366"/>
      <c r="C106" s="1380"/>
      <c r="D106" s="1342"/>
      <c r="E106" s="1343"/>
      <c r="F106" s="1342"/>
      <c r="G106" s="1342"/>
      <c r="H106" s="1342"/>
      <c r="I106" s="1342"/>
      <c r="J106" s="82"/>
      <c r="K106" s="82"/>
      <c r="L106" s="228"/>
      <c r="M106" s="228"/>
      <c r="N106" s="228"/>
      <c r="O106" s="81"/>
      <c r="P106" s="228"/>
      <c r="Q106" s="228"/>
      <c r="R106" s="228"/>
      <c r="S106" s="228"/>
      <c r="T106" s="228"/>
      <c r="U106" s="228"/>
      <c r="V106" s="228"/>
      <c r="W106" s="228"/>
      <c r="X106" s="228"/>
      <c r="Y106" s="228"/>
      <c r="Z106" s="228"/>
      <c r="AA106" s="228"/>
      <c r="AB106" s="228"/>
      <c r="AC106" s="228"/>
      <c r="AD106" s="228"/>
      <c r="AE106" s="228"/>
      <c r="AF106" s="228"/>
      <c r="AG106" s="228"/>
      <c r="AH106" s="228"/>
      <c r="AI106" s="228"/>
      <c r="AJ106" s="228"/>
      <c r="AK106" s="228"/>
      <c r="AL106" s="228"/>
      <c r="AM106" s="228"/>
    </row>
    <row r="107" spans="1:42" s="89" customFormat="1">
      <c r="A107" s="217">
        <v>2014</v>
      </c>
      <c r="B107" s="1380"/>
      <c r="C107" s="1380"/>
      <c r="D107" s="1342"/>
      <c r="E107" s="1343"/>
      <c r="F107" s="1342"/>
      <c r="G107" s="1342"/>
      <c r="H107" s="1342"/>
      <c r="I107" s="1342"/>
      <c r="J107" s="111"/>
      <c r="K107" s="111"/>
      <c r="L107" s="108"/>
      <c r="M107" s="108"/>
      <c r="N107" s="108"/>
      <c r="O107" s="76"/>
      <c r="P107" s="108"/>
      <c r="Q107" s="108"/>
      <c r="R107" s="108"/>
      <c r="S107" s="108"/>
      <c r="T107" s="108"/>
      <c r="U107" s="108"/>
      <c r="V107" s="108"/>
      <c r="AN107" s="102"/>
      <c r="AO107" s="102"/>
      <c r="AP107" s="102"/>
    </row>
    <row r="108" spans="1:42" s="80" customFormat="1">
      <c r="A108" s="282">
        <v>2015</v>
      </c>
      <c r="B108" s="1380"/>
      <c r="C108" s="1380"/>
      <c r="D108" s="1342"/>
      <c r="E108" s="1343"/>
      <c r="F108" s="1342"/>
      <c r="G108" s="1342"/>
      <c r="H108" s="1342"/>
      <c r="I108" s="1342"/>
      <c r="J108" s="111"/>
      <c r="K108" s="111"/>
      <c r="L108" s="108"/>
      <c r="M108" s="108"/>
      <c r="N108" s="108"/>
      <c r="O108" s="76"/>
      <c r="P108" s="108"/>
      <c r="Q108" s="108"/>
      <c r="R108" s="108"/>
      <c r="S108" s="108"/>
      <c r="T108" s="108"/>
      <c r="U108" s="108"/>
      <c r="V108" s="108"/>
      <c r="W108" s="89"/>
      <c r="X108" s="89"/>
      <c r="Y108" s="89"/>
      <c r="Z108" s="89"/>
      <c r="AA108" s="89"/>
      <c r="AB108" s="89"/>
      <c r="AC108" s="89"/>
      <c r="AD108" s="89"/>
      <c r="AE108" s="89"/>
      <c r="AF108" s="89"/>
      <c r="AG108" s="89"/>
      <c r="AH108" s="89"/>
      <c r="AI108" s="89"/>
      <c r="AJ108" s="89"/>
      <c r="AK108" s="89"/>
      <c r="AL108" s="89"/>
      <c r="AM108" s="89"/>
      <c r="AN108" s="89"/>
      <c r="AO108" s="89"/>
      <c r="AP108" s="89"/>
    </row>
    <row r="109" spans="1:42">
      <c r="A109" s="325">
        <v>2016</v>
      </c>
      <c r="B109" s="1380"/>
      <c r="C109" s="1380"/>
      <c r="D109" s="1342"/>
      <c r="E109" s="1343"/>
      <c r="F109" s="1342"/>
      <c r="G109" s="1342"/>
      <c r="H109" s="1342"/>
      <c r="I109" s="1342"/>
      <c r="J109" s="430"/>
      <c r="K109" s="87"/>
      <c r="L109" s="22"/>
      <c r="M109" s="22"/>
      <c r="N109" s="22"/>
      <c r="O109" s="76"/>
      <c r="P109" s="22"/>
      <c r="Q109" s="22"/>
      <c r="R109" s="22"/>
      <c r="S109" s="22"/>
      <c r="T109" s="22"/>
      <c r="U109" s="22"/>
      <c r="V109" s="22"/>
    </row>
    <row r="110" spans="1:42">
      <c r="J110" s="22"/>
      <c r="K110" s="22"/>
      <c r="L110" s="22"/>
      <c r="M110" s="22"/>
      <c r="N110" s="22"/>
      <c r="O110" s="76"/>
      <c r="P110" s="22"/>
      <c r="Q110" s="22"/>
      <c r="R110" s="22"/>
      <c r="S110" s="22"/>
      <c r="T110" s="22"/>
      <c r="U110" s="22"/>
      <c r="V110" s="22"/>
    </row>
    <row r="111" spans="1:42">
      <c r="A111" s="412" t="s">
        <v>1099</v>
      </c>
      <c r="B111" s="236"/>
      <c r="C111" s="236"/>
      <c r="D111" s="236"/>
      <c r="E111" s="236"/>
      <c r="F111" s="236"/>
      <c r="G111" s="236"/>
      <c r="H111" s="236"/>
      <c r="I111" s="236"/>
      <c r="J111" s="22"/>
      <c r="K111" s="22"/>
      <c r="L111" s="22"/>
      <c r="M111" s="22"/>
      <c r="N111" s="22"/>
      <c r="O111" s="76"/>
      <c r="P111" s="22"/>
      <c r="Q111" s="22"/>
      <c r="R111" s="22"/>
      <c r="S111" s="22"/>
      <c r="T111" s="22"/>
      <c r="U111" s="22"/>
      <c r="V111" s="22"/>
    </row>
    <row r="112" spans="1:42">
      <c r="A112" s="159" t="str">
        <f>B49</f>
        <v>BERGERMEER (TAQA-UGS)</v>
      </c>
      <c r="B112" s="46" t="s">
        <v>501</v>
      </c>
      <c r="C112" s="46" t="s">
        <v>502</v>
      </c>
      <c r="D112" s="46" t="s">
        <v>503</v>
      </c>
      <c r="E112" s="46" t="s">
        <v>5</v>
      </c>
      <c r="F112" s="46" t="s">
        <v>504</v>
      </c>
      <c r="G112" s="46" t="s">
        <v>505</v>
      </c>
      <c r="H112" s="46" t="s">
        <v>506</v>
      </c>
      <c r="I112" s="133" t="s">
        <v>661</v>
      </c>
      <c r="J112" s="22"/>
      <c r="K112" s="22"/>
      <c r="L112" s="22"/>
      <c r="M112" s="22"/>
      <c r="N112" s="22"/>
      <c r="O112" s="76"/>
      <c r="P112" s="22"/>
      <c r="Q112" s="22"/>
      <c r="R112" s="22"/>
      <c r="S112" s="22"/>
      <c r="T112" s="22"/>
      <c r="U112" s="22"/>
      <c r="V112" s="22"/>
    </row>
    <row r="113" spans="1:9">
      <c r="A113" s="325">
        <v>2013</v>
      </c>
      <c r="B113" s="1366"/>
      <c r="C113" s="1380"/>
      <c r="D113" s="1342"/>
      <c r="E113" s="1343"/>
      <c r="F113" s="1342"/>
      <c r="G113" s="1342"/>
      <c r="H113" s="1342"/>
      <c r="I113" s="1342"/>
    </row>
    <row r="114" spans="1:9">
      <c r="A114" s="217">
        <v>2014</v>
      </c>
      <c r="B114" s="1380"/>
      <c r="C114" s="1380"/>
      <c r="D114" s="1342"/>
      <c r="E114" s="1343"/>
      <c r="F114" s="1342"/>
      <c r="G114" s="1342"/>
      <c r="H114" s="1342"/>
      <c r="I114" s="1342"/>
    </row>
    <row r="115" spans="1:9">
      <c r="A115" s="282">
        <v>2015</v>
      </c>
      <c r="B115" s="1380"/>
      <c r="C115" s="1380"/>
      <c r="D115" s="1342"/>
      <c r="E115" s="1343"/>
      <c r="F115" s="1342"/>
      <c r="G115" s="1342"/>
      <c r="H115" s="1342"/>
      <c r="I115" s="1342"/>
    </row>
    <row r="116" spans="1:9">
      <c r="A116" s="325">
        <v>2016</v>
      </c>
      <c r="B116" s="1380"/>
      <c r="C116" s="1380"/>
      <c r="D116" s="1342"/>
      <c r="E116" s="1343"/>
      <c r="F116" s="1342"/>
      <c r="G116" s="1342"/>
      <c r="H116" s="1342"/>
      <c r="I116" s="1342"/>
    </row>
    <row r="118" spans="1:9">
      <c r="A118" s="412" t="s">
        <v>1099</v>
      </c>
      <c r="B118" s="236"/>
      <c r="C118" s="236"/>
      <c r="D118" s="236"/>
      <c r="E118" s="236"/>
      <c r="F118" s="236"/>
      <c r="G118" s="236"/>
      <c r="H118" s="236"/>
      <c r="I118" s="236"/>
    </row>
    <row r="119" spans="1:9">
      <c r="A119" s="159" t="str">
        <f>B50</f>
        <v>OUDE STATENZIJL (ASTORA JEMGUM)</v>
      </c>
      <c r="B119" s="46" t="s">
        <v>501</v>
      </c>
      <c r="C119" s="46" t="s">
        <v>502</v>
      </c>
      <c r="D119" s="46" t="s">
        <v>503</v>
      </c>
      <c r="E119" s="46" t="s">
        <v>5</v>
      </c>
      <c r="F119" s="46" t="s">
        <v>504</v>
      </c>
      <c r="G119" s="46" t="s">
        <v>505</v>
      </c>
      <c r="H119" s="46" t="s">
        <v>506</v>
      </c>
      <c r="I119" s="133" t="s">
        <v>661</v>
      </c>
    </row>
    <row r="120" spans="1:9">
      <c r="A120" s="325">
        <v>2013</v>
      </c>
      <c r="B120" s="1366"/>
      <c r="C120" s="1380"/>
      <c r="D120" s="1342"/>
      <c r="E120" s="1343"/>
      <c r="F120" s="1342"/>
      <c r="G120" s="1342"/>
      <c r="H120" s="1342"/>
      <c r="I120" s="1342"/>
    </row>
    <row r="121" spans="1:9">
      <c r="A121" s="217">
        <v>2014</v>
      </c>
      <c r="B121" s="1380"/>
      <c r="C121" s="1380"/>
      <c r="D121" s="1342"/>
      <c r="E121" s="1343"/>
      <c r="F121" s="1342"/>
      <c r="G121" s="1342"/>
      <c r="H121" s="1342"/>
      <c r="I121" s="1342"/>
    </row>
    <row r="122" spans="1:9">
      <c r="A122" s="282">
        <v>2015</v>
      </c>
      <c r="B122" s="1380"/>
      <c r="C122" s="1380"/>
      <c r="D122" s="1342"/>
      <c r="E122" s="1343"/>
      <c r="F122" s="1342"/>
      <c r="G122" s="1342"/>
      <c r="H122" s="1342"/>
      <c r="I122" s="1342"/>
    </row>
    <row r="123" spans="1:9">
      <c r="A123" s="325">
        <v>2016</v>
      </c>
      <c r="B123" s="1380"/>
      <c r="C123" s="1380"/>
      <c r="D123" s="1342"/>
      <c r="E123" s="1343"/>
      <c r="F123" s="1342"/>
      <c r="G123" s="1342"/>
      <c r="H123" s="1342"/>
      <c r="I123" s="1342"/>
    </row>
    <row r="125" spans="1:9">
      <c r="A125" s="412" t="s">
        <v>1099</v>
      </c>
      <c r="B125" s="236"/>
      <c r="C125" s="236"/>
      <c r="D125" s="236"/>
      <c r="E125" s="236"/>
      <c r="F125" s="236"/>
      <c r="G125" s="236"/>
      <c r="H125" s="236"/>
      <c r="I125" s="236"/>
    </row>
    <row r="126" spans="1:9">
      <c r="A126" s="159" t="str">
        <f>B51</f>
        <v>OUDE STATENZIJL (ASTORA JEMGUM)</v>
      </c>
      <c r="B126" s="46" t="s">
        <v>501</v>
      </c>
      <c r="C126" s="46" t="s">
        <v>502</v>
      </c>
      <c r="D126" s="46" t="s">
        <v>503</v>
      </c>
      <c r="E126" s="46" t="s">
        <v>5</v>
      </c>
      <c r="F126" s="46" t="s">
        <v>504</v>
      </c>
      <c r="G126" s="46" t="s">
        <v>505</v>
      </c>
      <c r="H126" s="46" t="s">
        <v>506</v>
      </c>
      <c r="I126" s="133" t="s">
        <v>661</v>
      </c>
    </row>
    <row r="127" spans="1:9">
      <c r="A127" s="325">
        <v>2013</v>
      </c>
      <c r="B127" s="1366"/>
      <c r="C127" s="1380"/>
      <c r="D127" s="1342"/>
      <c r="E127" s="1343"/>
      <c r="F127" s="1342"/>
      <c r="G127" s="1342"/>
      <c r="H127" s="1342"/>
      <c r="I127" s="1342"/>
    </row>
    <row r="128" spans="1:9">
      <c r="A128" s="217">
        <v>2014</v>
      </c>
      <c r="B128" s="1380"/>
      <c r="C128" s="1380"/>
      <c r="D128" s="1342"/>
      <c r="E128" s="1343"/>
      <c r="F128" s="1342"/>
      <c r="G128" s="1342"/>
      <c r="H128" s="1342"/>
      <c r="I128" s="1342"/>
    </row>
    <row r="129" spans="1:9">
      <c r="A129" s="282">
        <v>2015</v>
      </c>
      <c r="B129" s="1380"/>
      <c r="C129" s="1380"/>
      <c r="D129" s="1342"/>
      <c r="E129" s="1343"/>
      <c r="F129" s="1342"/>
      <c r="G129" s="1342"/>
      <c r="H129" s="1342"/>
      <c r="I129" s="1342"/>
    </row>
    <row r="130" spans="1:9">
      <c r="A130" s="325">
        <v>2016</v>
      </c>
      <c r="B130" s="1380"/>
      <c r="C130" s="1380"/>
      <c r="D130" s="1342"/>
      <c r="E130" s="1343"/>
      <c r="F130" s="1342"/>
      <c r="G130" s="1342"/>
      <c r="H130" s="1342"/>
      <c r="I130" s="1342"/>
    </row>
    <row r="132" spans="1:9">
      <c r="A132" s="412" t="s">
        <v>1099</v>
      </c>
      <c r="B132" s="236"/>
      <c r="C132" s="236"/>
      <c r="D132" s="236"/>
      <c r="E132" s="236"/>
      <c r="F132" s="236"/>
      <c r="G132" s="236"/>
      <c r="H132" s="236"/>
      <c r="I132" s="236"/>
    </row>
    <row r="133" spans="1:9">
      <c r="A133" s="159" t="str">
        <f>B52</f>
        <v>OUDE STATENZIJL (ASTORA JEMGUM)</v>
      </c>
      <c r="B133" s="46" t="s">
        <v>501</v>
      </c>
      <c r="C133" s="46" t="s">
        <v>502</v>
      </c>
      <c r="D133" s="46" t="s">
        <v>503</v>
      </c>
      <c r="E133" s="46" t="s">
        <v>5</v>
      </c>
      <c r="F133" s="46" t="s">
        <v>504</v>
      </c>
      <c r="G133" s="46" t="s">
        <v>505</v>
      </c>
      <c r="H133" s="46" t="s">
        <v>506</v>
      </c>
      <c r="I133" s="133" t="s">
        <v>661</v>
      </c>
    </row>
    <row r="134" spans="1:9">
      <c r="A134" s="325">
        <v>2013</v>
      </c>
      <c r="B134" s="1366"/>
      <c r="C134" s="1380"/>
      <c r="D134" s="1342"/>
      <c r="E134" s="1343"/>
      <c r="F134" s="1342"/>
      <c r="G134" s="1342"/>
      <c r="H134" s="1342"/>
      <c r="I134" s="1342"/>
    </row>
    <row r="135" spans="1:9">
      <c r="A135" s="217">
        <v>2014</v>
      </c>
      <c r="B135" s="1380"/>
      <c r="C135" s="1380"/>
      <c r="D135" s="1342"/>
      <c r="E135" s="1343"/>
      <c r="F135" s="1342"/>
      <c r="G135" s="1342"/>
      <c r="H135" s="1342"/>
      <c r="I135" s="1342"/>
    </row>
    <row r="136" spans="1:9">
      <c r="A136" s="282">
        <v>2015</v>
      </c>
      <c r="B136" s="1380"/>
      <c r="C136" s="1380"/>
      <c r="D136" s="1342"/>
      <c r="E136" s="1343"/>
      <c r="F136" s="1342"/>
      <c r="G136" s="1342"/>
      <c r="H136" s="1342"/>
      <c r="I136" s="1342"/>
    </row>
    <row r="137" spans="1:9">
      <c r="A137" s="325">
        <v>2016</v>
      </c>
      <c r="B137" s="1380"/>
      <c r="C137" s="1380"/>
      <c r="D137" s="1342"/>
      <c r="E137" s="1343"/>
      <c r="F137" s="1342"/>
      <c r="G137" s="1342"/>
      <c r="H137" s="1342"/>
      <c r="I137" s="1342"/>
    </row>
    <row r="140" spans="1:9">
      <c r="A140" s="582"/>
      <c r="B140" s="102"/>
      <c r="C140" s="102"/>
      <c r="D140" s="102"/>
      <c r="E140" s="102"/>
      <c r="F140" s="102"/>
      <c r="G140" s="102"/>
      <c r="H140" s="102"/>
      <c r="I140" s="102"/>
    </row>
    <row r="141" spans="1:9">
      <c r="A141" s="246"/>
      <c r="B141" s="246"/>
      <c r="C141" s="246"/>
      <c r="D141" s="246"/>
      <c r="E141" s="246"/>
      <c r="F141" s="246"/>
      <c r="G141" s="246"/>
      <c r="H141" s="246"/>
      <c r="I141" s="530"/>
    </row>
    <row r="142" spans="1:9">
      <c r="A142" s="102"/>
      <c r="B142" s="49"/>
      <c r="C142" s="418"/>
      <c r="D142" s="112"/>
      <c r="E142" s="583"/>
      <c r="F142" s="112"/>
      <c r="G142" s="112"/>
      <c r="H142" s="112"/>
      <c r="I142" s="112"/>
    </row>
    <row r="143" spans="1:9">
      <c r="A143" s="102"/>
      <c r="B143" s="418"/>
      <c r="C143" s="418"/>
      <c r="D143" s="112"/>
      <c r="E143" s="583"/>
      <c r="F143" s="112"/>
      <c r="G143" s="112"/>
      <c r="H143" s="112"/>
      <c r="I143" s="112"/>
    </row>
    <row r="144" spans="1:9">
      <c r="A144" s="102"/>
      <c r="B144" s="418"/>
      <c r="C144" s="418"/>
      <c r="D144" s="112"/>
      <c r="E144" s="583"/>
      <c r="F144" s="112"/>
      <c r="G144" s="112"/>
      <c r="H144" s="112"/>
      <c r="I144" s="112"/>
    </row>
    <row r="145" spans="1:9">
      <c r="A145" s="429"/>
      <c r="B145" s="584"/>
      <c r="C145" s="585"/>
      <c r="D145" s="586"/>
      <c r="E145" s="587"/>
      <c r="F145" s="586"/>
      <c r="G145" s="586"/>
      <c r="H145" s="586"/>
      <c r="I145" s="586"/>
    </row>
  </sheetData>
  <mergeCells count="3">
    <mergeCell ref="A1:E1"/>
    <mergeCell ref="K18:M18"/>
    <mergeCell ref="N18:P18"/>
  </mergeCells>
  <pageMargins left="0.23622047244094491" right="0.23622047244094491" top="0.74803149606299213" bottom="0.74803149606299213" header="0.31496062992125984" footer="0.31496062992125984"/>
  <pageSetup paperSize="8" scale="34" orientation="landscape" r:id="rId1"/>
  <headerFooter alignWithMargins="0">
    <oddFooter>&amp;C&amp;A&amp;R&amp;P/&amp;N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97"/>
  <sheetViews>
    <sheetView showGridLines="0" showWhiteSpace="0" zoomScale="70" zoomScaleNormal="70" zoomScaleSheetLayoutView="70" zoomScalePageLayoutView="85" workbookViewId="0"/>
  </sheetViews>
  <sheetFormatPr defaultRowHeight="12.75"/>
  <cols>
    <col min="1" max="1" width="64.42578125" style="101" customWidth="1"/>
    <col min="2" max="2" width="43.5703125" style="101" customWidth="1"/>
    <col min="3" max="3" width="28.85546875" style="101" customWidth="1"/>
    <col min="4" max="4" width="26.7109375" style="101" customWidth="1"/>
    <col min="5" max="5" width="37.140625" style="101" customWidth="1"/>
    <col min="6" max="6" width="23.5703125" style="101" customWidth="1"/>
    <col min="7" max="7" width="21.42578125" style="101" customWidth="1"/>
    <col min="8" max="8" width="22.42578125" style="101" bestFit="1" customWidth="1"/>
    <col min="9" max="9" width="32.42578125" style="101" bestFit="1" customWidth="1"/>
    <col min="10" max="10" width="29.28515625" style="101" customWidth="1"/>
    <col min="11" max="11" width="29.140625" style="71" customWidth="1"/>
    <col min="12" max="12" width="29.42578125" style="101" customWidth="1"/>
    <col min="13" max="13" width="3.140625" style="101" customWidth="1"/>
    <col min="14" max="14" width="23.5703125" style="101" customWidth="1"/>
    <col min="15" max="15" width="23.5703125" style="101" bestFit="1" customWidth="1"/>
    <col min="16" max="16" width="19.42578125" style="101" bestFit="1" customWidth="1"/>
    <col min="17" max="17" width="25.7109375" style="101" bestFit="1" customWidth="1"/>
    <col min="18" max="18" width="22.7109375" style="101" bestFit="1" customWidth="1"/>
    <col min="19" max="19" width="22" style="101" customWidth="1"/>
    <col min="20" max="16384" width="9.140625" style="21"/>
  </cols>
  <sheetData>
    <row r="1" spans="1:46" s="11" customFormat="1" ht="23.25" customHeight="1">
      <c r="A1" s="9" t="s">
        <v>1004</v>
      </c>
      <c r="B1" s="9"/>
      <c r="C1" s="407"/>
      <c r="D1" s="407"/>
      <c r="E1" s="69"/>
      <c r="F1" s="68"/>
      <c r="G1" s="69"/>
      <c r="H1" s="68"/>
      <c r="I1" s="69"/>
      <c r="J1" s="408"/>
      <c r="K1" s="614"/>
      <c r="L1" s="653" t="s">
        <v>143</v>
      </c>
      <c r="M1" s="908"/>
      <c r="N1" s="1446"/>
      <c r="O1" s="1446"/>
      <c r="P1" s="909"/>
      <c r="Q1" s="909"/>
      <c r="R1" s="910"/>
      <c r="S1" s="908"/>
      <c r="T1" s="911"/>
      <c r="U1" s="911"/>
      <c r="V1" s="911"/>
      <c r="W1" s="911"/>
      <c r="X1" s="911"/>
      <c r="Y1" s="911"/>
      <c r="Z1" s="911"/>
      <c r="AA1" s="911"/>
      <c r="AB1" s="911"/>
      <c r="AC1" s="911"/>
      <c r="AD1" s="911"/>
      <c r="AE1" s="911"/>
      <c r="AF1" s="911"/>
      <c r="AG1" s="911"/>
      <c r="AH1" s="911"/>
      <c r="AI1" s="911"/>
      <c r="AJ1" s="911"/>
      <c r="AK1" s="911"/>
      <c r="AL1" s="911"/>
      <c r="AM1" s="911"/>
      <c r="AN1" s="911"/>
      <c r="AO1" s="911"/>
      <c r="AP1" s="911"/>
      <c r="AQ1" s="911"/>
      <c r="AR1" s="911"/>
      <c r="AS1" s="911"/>
      <c r="AT1" s="912"/>
    </row>
    <row r="2" spans="1:46" s="39" customFormat="1">
      <c r="A2" s="35"/>
      <c r="B2" s="22"/>
      <c r="C2" s="22"/>
      <c r="D2" s="22"/>
      <c r="E2" s="22"/>
      <c r="F2" s="22"/>
      <c r="G2" s="30"/>
      <c r="H2" s="30"/>
      <c r="I2" s="30"/>
      <c r="J2" s="22"/>
      <c r="K2" s="76"/>
      <c r="L2" s="22"/>
      <c r="M2" s="30"/>
      <c r="N2" s="30"/>
      <c r="O2" s="30"/>
      <c r="P2" s="30"/>
      <c r="Q2" s="30"/>
      <c r="R2" s="30"/>
      <c r="S2" s="30"/>
      <c r="T2" s="913"/>
      <c r="U2" s="913"/>
      <c r="V2" s="913"/>
      <c r="W2" s="913"/>
      <c r="X2" s="913"/>
      <c r="Y2" s="913"/>
      <c r="Z2" s="913"/>
      <c r="AA2" s="913"/>
      <c r="AB2" s="913"/>
      <c r="AC2" s="913"/>
      <c r="AD2" s="913"/>
      <c r="AE2" s="913"/>
      <c r="AF2" s="913"/>
      <c r="AG2" s="913"/>
      <c r="AH2" s="913"/>
      <c r="AI2" s="913"/>
      <c r="AJ2" s="913"/>
      <c r="AK2" s="913"/>
      <c r="AL2" s="913"/>
      <c r="AM2" s="913"/>
      <c r="AN2" s="913"/>
      <c r="AO2" s="913"/>
      <c r="AP2" s="913"/>
      <c r="AQ2" s="913"/>
      <c r="AR2" s="913"/>
      <c r="AS2" s="913"/>
      <c r="AT2" s="914"/>
    </row>
    <row r="3" spans="1:46" s="89" customFormat="1">
      <c r="A3" s="169" t="s">
        <v>565</v>
      </c>
      <c r="B3" s="680" t="s">
        <v>514</v>
      </c>
      <c r="C3" s="962" t="s">
        <v>515</v>
      </c>
      <c r="D3" s="612" t="s">
        <v>524</v>
      </c>
      <c r="E3" s="108"/>
      <c r="F3" s="108"/>
      <c r="G3" s="108"/>
      <c r="H3" s="102"/>
      <c r="I3" s="108"/>
      <c r="J3" s="108"/>
      <c r="K3" s="76"/>
      <c r="L3" s="108"/>
      <c r="M3" s="108"/>
      <c r="N3" s="108"/>
      <c r="O3" s="108"/>
      <c r="P3" s="108"/>
      <c r="Q3" s="108"/>
      <c r="R3" s="108"/>
      <c r="S3" s="108"/>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221"/>
    </row>
    <row r="4" spans="1:46" s="89" customFormat="1">
      <c r="A4" s="915" t="s">
        <v>873</v>
      </c>
      <c r="B4" s="1073">
        <f>Parameters!B68</f>
        <v>0.91399999999999992</v>
      </c>
      <c r="C4" s="1073">
        <f>Parameters!C68</f>
        <v>3.3000000000000002E-2</v>
      </c>
      <c r="D4" s="1073">
        <f>Parameters!D68</f>
        <v>5.2999999999999999E-2</v>
      </c>
      <c r="E4" s="108"/>
      <c r="F4" s="108"/>
      <c r="G4" s="108"/>
      <c r="H4" s="102"/>
      <c r="I4" s="108"/>
      <c r="J4" s="108"/>
      <c r="K4" s="76"/>
      <c r="L4" s="108"/>
      <c r="M4" s="108"/>
      <c r="N4" s="108"/>
      <c r="O4" s="108"/>
      <c r="P4" s="108"/>
      <c r="Q4" s="108"/>
      <c r="R4" s="108"/>
      <c r="S4" s="108"/>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221"/>
    </row>
    <row r="5" spans="1:46" s="89" customFormat="1">
      <c r="A5" s="915"/>
      <c r="B5" s="727"/>
      <c r="C5" s="726"/>
      <c r="D5" s="726"/>
      <c r="E5" s="108"/>
      <c r="F5" s="108"/>
      <c r="G5" s="108"/>
      <c r="H5" s="102"/>
      <c r="I5" s="108"/>
      <c r="J5" s="108"/>
      <c r="K5" s="76"/>
      <c r="L5" s="108"/>
      <c r="M5" s="108"/>
      <c r="N5" s="108"/>
      <c r="O5" s="108"/>
      <c r="P5" s="108"/>
      <c r="Q5" s="108"/>
      <c r="R5" s="108"/>
      <c r="S5" s="108"/>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221"/>
    </row>
    <row r="6" spans="1:46" s="216" customFormat="1">
      <c r="A6" s="32" t="s">
        <v>463</v>
      </c>
      <c r="B6" s="289"/>
      <c r="K6" s="74"/>
      <c r="N6" s="74"/>
      <c r="AK6" s="74"/>
      <c r="AL6" s="74"/>
      <c r="AM6" s="74"/>
      <c r="AT6" s="219"/>
    </row>
    <row r="7" spans="1:46" s="216" customFormat="1">
      <c r="A7" s="160" t="s">
        <v>462</v>
      </c>
      <c r="B7" s="50" t="s">
        <v>456</v>
      </c>
      <c r="C7" s="506">
        <v>2010</v>
      </c>
      <c r="D7" s="506">
        <v>2011</v>
      </c>
      <c r="E7" s="506">
        <v>2012</v>
      </c>
      <c r="F7" s="507">
        <v>2013</v>
      </c>
      <c r="G7" s="507">
        <v>2014</v>
      </c>
      <c r="H7" s="512">
        <v>2015</v>
      </c>
      <c r="I7" s="1074">
        <v>2016</v>
      </c>
      <c r="AT7" s="219"/>
    </row>
    <row r="8" spans="1:46" s="216" customFormat="1">
      <c r="A8" s="225">
        <v>2010</v>
      </c>
      <c r="B8" s="226">
        <f>Parameters!B59</f>
        <v>1.0029999999999999</v>
      </c>
      <c r="C8" s="226">
        <f>Parameters!L59</f>
        <v>1</v>
      </c>
      <c r="D8" s="226">
        <f>Parameters!M59</f>
        <v>1.0149999999999999</v>
      </c>
      <c r="E8" s="226">
        <f>Parameters!N59</f>
        <v>1.0413899999999998</v>
      </c>
      <c r="F8" s="226">
        <f>Parameters!O59</f>
        <v>1.06534197</v>
      </c>
      <c r="G8" s="226">
        <f>Parameters!P59</f>
        <v>1.0951715451599999</v>
      </c>
      <c r="H8" s="226">
        <f>Parameters!Q59</f>
        <v>1.1061232606116</v>
      </c>
      <c r="I8" s="226">
        <f>Parameters!R59</f>
        <v>1.1149722466964929</v>
      </c>
      <c r="AT8" s="219"/>
    </row>
    <row r="9" spans="1:46" s="216" customFormat="1">
      <c r="A9" s="225">
        <v>2011</v>
      </c>
      <c r="B9" s="226">
        <f>Parameters!B60</f>
        <v>1.0149999999999999</v>
      </c>
      <c r="C9" s="227"/>
      <c r="D9" s="226">
        <f>Parameters!M60</f>
        <v>1</v>
      </c>
      <c r="E9" s="226">
        <f>Parameters!N60</f>
        <v>1.026</v>
      </c>
      <c r="F9" s="226">
        <f>Parameters!O60</f>
        <v>1.049598</v>
      </c>
      <c r="G9" s="226">
        <f>Parameters!P60</f>
        <v>1.0789867440000001</v>
      </c>
      <c r="H9" s="226">
        <f>Parameters!Q60</f>
        <v>1.08977661144</v>
      </c>
      <c r="I9" s="226">
        <f>Parameters!R60</f>
        <v>1.0984948243315202</v>
      </c>
      <c r="AT9" s="219"/>
    </row>
    <row r="10" spans="1:46" s="216" customFormat="1">
      <c r="A10" s="174">
        <v>2012</v>
      </c>
      <c r="B10" s="226">
        <f>Parameters!B61</f>
        <v>1.026</v>
      </c>
      <c r="C10" s="227"/>
      <c r="D10" s="227"/>
      <c r="E10" s="226">
        <f>Parameters!N61</f>
        <v>1</v>
      </c>
      <c r="F10" s="226">
        <f>Parameters!O61</f>
        <v>1.0229999999999999</v>
      </c>
      <c r="G10" s="226">
        <f>Parameters!P61</f>
        <v>1.051644</v>
      </c>
      <c r="H10" s="226">
        <f>Parameters!Q61</f>
        <v>1.06216044</v>
      </c>
      <c r="I10" s="226">
        <f>Parameters!R61</f>
        <v>1.0706577235200001</v>
      </c>
      <c r="AT10" s="219"/>
    </row>
    <row r="11" spans="1:46" s="102" customFormat="1">
      <c r="A11" s="161">
        <v>2013</v>
      </c>
      <c r="B11" s="226">
        <f>Parameters!B62</f>
        <v>1.0229999999999999</v>
      </c>
      <c r="C11" s="227"/>
      <c r="D11" s="227"/>
      <c r="E11" s="227"/>
      <c r="F11" s="226">
        <f>Parameters!O62</f>
        <v>1</v>
      </c>
      <c r="G11" s="226">
        <f>Parameters!P62</f>
        <v>1.028</v>
      </c>
      <c r="H11" s="226">
        <f>Parameters!Q62</f>
        <v>1.0382800000000001</v>
      </c>
      <c r="I11" s="226">
        <f>Parameters!R62</f>
        <v>1.0465862400000001</v>
      </c>
      <c r="AT11" s="221"/>
    </row>
    <row r="12" spans="1:46" s="228" customFormat="1">
      <c r="A12" s="290">
        <v>2014</v>
      </c>
      <c r="B12" s="226">
        <f>Parameters!B63</f>
        <v>1.028</v>
      </c>
      <c r="C12" s="227"/>
      <c r="D12" s="227"/>
      <c r="E12" s="227"/>
      <c r="F12" s="227"/>
      <c r="G12" s="226">
        <f>Parameters!P63</f>
        <v>1</v>
      </c>
      <c r="H12" s="226">
        <f>Parameters!Q63</f>
        <v>1.01</v>
      </c>
      <c r="I12" s="226">
        <f>Parameters!R63</f>
        <v>1.0180800000000001</v>
      </c>
      <c r="K12" s="81"/>
      <c r="N12" s="81"/>
      <c r="AK12" s="81"/>
      <c r="AL12" s="81"/>
      <c r="AM12" s="81"/>
      <c r="AT12" s="268"/>
    </row>
    <row r="13" spans="1:46" s="228" customFormat="1">
      <c r="A13" s="290">
        <v>2015</v>
      </c>
      <c r="B13" s="226">
        <f>Parameters!B64</f>
        <v>1.01</v>
      </c>
      <c r="C13" s="227"/>
      <c r="D13" s="227"/>
      <c r="E13" s="227"/>
      <c r="F13" s="227"/>
      <c r="G13" s="227"/>
      <c r="H13" s="226">
        <f>Parameters!Q64</f>
        <v>1</v>
      </c>
      <c r="I13" s="226">
        <f>Parameters!R64</f>
        <v>1.008</v>
      </c>
      <c r="K13" s="81"/>
      <c r="N13" s="81"/>
      <c r="AK13" s="81"/>
      <c r="AL13" s="81"/>
      <c r="AM13" s="81"/>
      <c r="AT13" s="268"/>
    </row>
    <row r="14" spans="1:46" s="228" customFormat="1">
      <c r="A14" s="290">
        <v>2016</v>
      </c>
      <c r="B14" s="226">
        <f>Parameters!B65</f>
        <v>1.008</v>
      </c>
      <c r="C14" s="227"/>
      <c r="D14" s="227"/>
      <c r="E14" s="227"/>
      <c r="F14" s="227"/>
      <c r="G14" s="227"/>
      <c r="H14" s="227"/>
      <c r="I14" s="1075">
        <f>Parameters!R65</f>
        <v>1</v>
      </c>
      <c r="J14" s="102"/>
      <c r="K14" s="72"/>
      <c r="L14" s="102"/>
      <c r="M14" s="102"/>
      <c r="N14" s="7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72"/>
      <c r="AL14" s="72"/>
      <c r="AM14" s="72"/>
      <c r="AN14" s="102"/>
      <c r="AO14" s="102"/>
      <c r="AP14" s="102"/>
      <c r="AQ14" s="102"/>
      <c r="AR14" s="102"/>
      <c r="AS14" s="102"/>
      <c r="AT14" s="221"/>
    </row>
    <row r="15" spans="1:46" s="228" customFormat="1">
      <c r="A15" s="290"/>
      <c r="B15" s="511"/>
      <c r="C15" s="511"/>
      <c r="D15" s="511"/>
      <c r="E15" s="511"/>
      <c r="F15" s="511"/>
      <c r="G15" s="511"/>
      <c r="H15" s="714"/>
      <c r="I15" s="105"/>
      <c r="J15" s="102"/>
      <c r="K15" s="72"/>
      <c r="L15" s="102"/>
      <c r="M15" s="102"/>
      <c r="N15" s="7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72"/>
      <c r="AL15" s="72"/>
      <c r="AM15" s="72"/>
      <c r="AN15" s="102"/>
      <c r="AO15" s="102"/>
      <c r="AP15" s="102"/>
      <c r="AQ15" s="102"/>
      <c r="AR15" s="102"/>
      <c r="AS15" s="102"/>
      <c r="AT15" s="221"/>
    </row>
    <row r="16" spans="1:46" s="108" customFormat="1">
      <c r="A16" s="169" t="s">
        <v>909</v>
      </c>
      <c r="B16" s="471"/>
      <c r="C16" s="471"/>
      <c r="D16" s="471"/>
      <c r="E16" s="471"/>
      <c r="F16" s="471"/>
      <c r="G16" s="471"/>
      <c r="H16" s="471"/>
      <c r="I16" s="471"/>
      <c r="J16" s="870" t="s">
        <v>903</v>
      </c>
      <c r="K16" s="870" t="s">
        <v>902</v>
      </c>
      <c r="L16" s="870" t="s">
        <v>901</v>
      </c>
      <c r="AF16" s="916"/>
      <c r="AT16" s="148"/>
    </row>
    <row r="17" spans="1:46" s="108" customFormat="1">
      <c r="A17" s="169" t="s">
        <v>457</v>
      </c>
      <c r="B17" s="135" t="s">
        <v>491</v>
      </c>
      <c r="C17" s="169" t="s">
        <v>493</v>
      </c>
      <c r="D17" s="169" t="s">
        <v>589</v>
      </c>
      <c r="E17" s="169" t="s">
        <v>590</v>
      </c>
      <c r="F17" s="169" t="s">
        <v>558</v>
      </c>
      <c r="G17" s="169" t="s">
        <v>591</v>
      </c>
      <c r="H17" s="169" t="s">
        <v>592</v>
      </c>
      <c r="I17" s="169" t="s">
        <v>548</v>
      </c>
      <c r="J17" s="723" t="s">
        <v>904</v>
      </c>
      <c r="K17" s="723" t="s">
        <v>904</v>
      </c>
      <c r="L17" s="723" t="s">
        <v>904</v>
      </c>
      <c r="AF17" s="916"/>
      <c r="AT17" s="148"/>
    </row>
    <row r="18" spans="1:46" s="108" customFormat="1">
      <c r="A18" s="917" t="s">
        <v>593</v>
      </c>
      <c r="B18" s="718" t="s">
        <v>594</v>
      </c>
      <c r="C18" s="280">
        <v>40179</v>
      </c>
      <c r="D18" s="300">
        <v>27525</v>
      </c>
      <c r="E18" s="286"/>
      <c r="F18" s="286"/>
      <c r="G18" s="301"/>
      <c r="H18" s="301"/>
      <c r="I18" s="301"/>
      <c r="J18" s="281">
        <f>(D18-G18)*$E$8</f>
        <v>28664.259749999994</v>
      </c>
      <c r="K18" s="281">
        <f>(E18-H18)*$E$9</f>
        <v>0</v>
      </c>
      <c r="L18" s="281">
        <f t="shared" ref="L18" si="0">F18-I18</f>
        <v>0</v>
      </c>
      <c r="AF18" s="916"/>
      <c r="AT18" s="148"/>
    </row>
    <row r="19" spans="1:46" s="108" customFormat="1">
      <c r="A19" s="917" t="s">
        <v>595</v>
      </c>
      <c r="B19" s="719" t="s">
        <v>596</v>
      </c>
      <c r="C19" s="283">
        <v>40179</v>
      </c>
      <c r="D19" s="300">
        <v>80000</v>
      </c>
      <c r="E19" s="286"/>
      <c r="F19" s="286"/>
      <c r="G19" s="302"/>
      <c r="H19" s="302"/>
      <c r="I19" s="302"/>
      <c r="J19" s="281">
        <f t="shared" ref="J19:J30" si="1">(D19-G19)*$E$8</f>
        <v>83311.199999999983</v>
      </c>
      <c r="K19" s="281">
        <f t="shared" ref="K19:K30" si="2">(E19-H19)*$E$9</f>
        <v>0</v>
      </c>
      <c r="L19" s="281">
        <f t="shared" ref="L19:L30" si="3">F19-I19</f>
        <v>0</v>
      </c>
      <c r="AF19" s="916"/>
      <c r="AT19" s="148"/>
    </row>
    <row r="20" spans="1:46" s="108" customFormat="1">
      <c r="A20" s="918" t="s">
        <v>597</v>
      </c>
      <c r="B20" s="720" t="s">
        <v>598</v>
      </c>
      <c r="C20" s="283">
        <v>40179</v>
      </c>
      <c r="D20" s="300">
        <v>106000</v>
      </c>
      <c r="E20" s="300">
        <v>63400</v>
      </c>
      <c r="F20" s="300">
        <v>65048.4</v>
      </c>
      <c r="G20" s="302"/>
      <c r="H20" s="302"/>
      <c r="I20" s="302"/>
      <c r="J20" s="281">
        <f t="shared" si="1"/>
        <v>110387.33999999998</v>
      </c>
      <c r="K20" s="281">
        <f t="shared" si="2"/>
        <v>65048.4</v>
      </c>
      <c r="L20" s="281">
        <f t="shared" si="3"/>
        <v>65048.4</v>
      </c>
      <c r="AF20" s="916"/>
      <c r="AT20" s="148"/>
    </row>
    <row r="21" spans="1:46" s="108" customFormat="1">
      <c r="A21" s="918" t="s">
        <v>599</v>
      </c>
      <c r="B21" s="720" t="s">
        <v>600</v>
      </c>
      <c r="C21" s="283">
        <v>40179</v>
      </c>
      <c r="D21" s="300">
        <v>500000</v>
      </c>
      <c r="E21" s="300">
        <v>1022031</v>
      </c>
      <c r="F21" s="300">
        <v>1022054.9086</v>
      </c>
      <c r="G21" s="302"/>
      <c r="H21" s="302"/>
      <c r="I21" s="302"/>
      <c r="J21" s="281">
        <f t="shared" si="1"/>
        <v>520694.99999999988</v>
      </c>
      <c r="K21" s="281">
        <f t="shared" si="2"/>
        <v>1048603.8060000001</v>
      </c>
      <c r="L21" s="281">
        <f t="shared" si="3"/>
        <v>1022054.9086</v>
      </c>
      <c r="AF21" s="916"/>
      <c r="AT21" s="148"/>
    </row>
    <row r="22" spans="1:46" s="108" customFormat="1">
      <c r="A22" s="918" t="s">
        <v>601</v>
      </c>
      <c r="B22" s="720" t="s">
        <v>602</v>
      </c>
      <c r="C22" s="283">
        <v>40444</v>
      </c>
      <c r="D22" s="300">
        <v>38250</v>
      </c>
      <c r="E22" s="300">
        <v>20401.5</v>
      </c>
      <c r="F22" s="300">
        <v>20931.939000000002</v>
      </c>
      <c r="G22" s="302"/>
      <c r="H22" s="302"/>
      <c r="I22" s="302"/>
      <c r="J22" s="281">
        <f t="shared" si="1"/>
        <v>39833.167499999996</v>
      </c>
      <c r="K22" s="281">
        <f t="shared" si="2"/>
        <v>20931.939000000002</v>
      </c>
      <c r="L22" s="281">
        <f t="shared" si="3"/>
        <v>20931.939000000002</v>
      </c>
      <c r="AF22" s="916"/>
      <c r="AT22" s="148"/>
    </row>
    <row r="23" spans="1:46" s="108" customFormat="1">
      <c r="A23" s="918" t="s">
        <v>603</v>
      </c>
      <c r="B23" s="720" t="s">
        <v>604</v>
      </c>
      <c r="C23" s="283">
        <v>40179</v>
      </c>
      <c r="D23" s="300">
        <v>16000</v>
      </c>
      <c r="E23" s="300">
        <v>18937.599999999999</v>
      </c>
      <c r="F23" s="300">
        <v>19429.977599999998</v>
      </c>
      <c r="G23" s="302"/>
      <c r="H23" s="302"/>
      <c r="I23" s="302"/>
      <c r="J23" s="281">
        <f t="shared" si="1"/>
        <v>16662.239999999998</v>
      </c>
      <c r="K23" s="281">
        <f t="shared" si="2"/>
        <v>19429.977599999998</v>
      </c>
      <c r="L23" s="281">
        <f t="shared" si="3"/>
        <v>19429.977599999998</v>
      </c>
      <c r="AF23" s="916"/>
      <c r="AT23" s="148"/>
    </row>
    <row r="24" spans="1:46" s="108" customFormat="1">
      <c r="A24" s="918" t="s">
        <v>605</v>
      </c>
      <c r="B24" s="720" t="s">
        <v>606</v>
      </c>
      <c r="C24" s="283">
        <v>40357</v>
      </c>
      <c r="D24" s="300">
        <v>27150</v>
      </c>
      <c r="E24" s="300">
        <v>21771.75</v>
      </c>
      <c r="F24" s="300">
        <v>22337.815500000001</v>
      </c>
      <c r="G24" s="302"/>
      <c r="H24" s="302"/>
      <c r="I24" s="302"/>
      <c r="J24" s="281">
        <f t="shared" si="1"/>
        <v>28273.738499999996</v>
      </c>
      <c r="K24" s="281">
        <f t="shared" si="2"/>
        <v>22337.815500000001</v>
      </c>
      <c r="L24" s="281">
        <f t="shared" si="3"/>
        <v>22337.815500000001</v>
      </c>
      <c r="AF24" s="916"/>
      <c r="AT24" s="148"/>
    </row>
    <row r="25" spans="1:46" s="108" customFormat="1">
      <c r="A25" s="918" t="s">
        <v>607</v>
      </c>
      <c r="B25" s="720" t="s">
        <v>608</v>
      </c>
      <c r="C25" s="283">
        <v>40179</v>
      </c>
      <c r="D25" s="300">
        <v>4250</v>
      </c>
      <c r="E25" s="300">
        <v>2283.75</v>
      </c>
      <c r="F25" s="300">
        <v>2343.1275000000001</v>
      </c>
      <c r="G25" s="302"/>
      <c r="H25" s="302"/>
      <c r="I25" s="302"/>
      <c r="J25" s="281">
        <f t="shared" si="1"/>
        <v>4425.9074999999993</v>
      </c>
      <c r="K25" s="281">
        <f t="shared" si="2"/>
        <v>2343.1275000000001</v>
      </c>
      <c r="L25" s="281">
        <f t="shared" si="3"/>
        <v>2343.1275000000001</v>
      </c>
      <c r="AF25" s="916"/>
      <c r="AT25" s="148"/>
    </row>
    <row r="26" spans="1:46" s="108" customFormat="1">
      <c r="A26" s="918" t="s">
        <v>609</v>
      </c>
      <c r="B26" s="720" t="s">
        <v>610</v>
      </c>
      <c r="C26" s="283">
        <v>40728</v>
      </c>
      <c r="D26" s="285"/>
      <c r="E26" s="303">
        <v>33210</v>
      </c>
      <c r="F26" s="303">
        <v>34073.46</v>
      </c>
      <c r="G26" s="302"/>
      <c r="H26" s="302"/>
      <c r="I26" s="302"/>
      <c r="J26" s="281">
        <f t="shared" si="1"/>
        <v>0</v>
      </c>
      <c r="K26" s="281">
        <f t="shared" si="2"/>
        <v>34073.46</v>
      </c>
      <c r="L26" s="281">
        <f t="shared" si="3"/>
        <v>34073.46</v>
      </c>
      <c r="AF26" s="916"/>
      <c r="AT26" s="148"/>
    </row>
    <row r="27" spans="1:46" s="108" customFormat="1">
      <c r="A27" s="918" t="s">
        <v>611</v>
      </c>
      <c r="B27" s="720" t="s">
        <v>612</v>
      </c>
      <c r="C27" s="283">
        <v>40816</v>
      </c>
      <c r="D27" s="285"/>
      <c r="E27" s="303">
        <v>147000</v>
      </c>
      <c r="F27" s="303">
        <v>79270.812000000005</v>
      </c>
      <c r="G27" s="302"/>
      <c r="H27" s="302"/>
      <c r="I27" s="302"/>
      <c r="J27" s="281">
        <f t="shared" si="1"/>
        <v>0</v>
      </c>
      <c r="K27" s="281">
        <f t="shared" si="2"/>
        <v>150822</v>
      </c>
      <c r="L27" s="281">
        <f t="shared" si="3"/>
        <v>79270.812000000005</v>
      </c>
      <c r="AF27" s="916"/>
      <c r="AT27" s="148"/>
    </row>
    <row r="28" spans="1:46" s="108" customFormat="1">
      <c r="A28" s="918" t="s">
        <v>613</v>
      </c>
      <c r="B28" s="720" t="s">
        <v>614</v>
      </c>
      <c r="C28" s="283">
        <v>40544</v>
      </c>
      <c r="D28" s="285"/>
      <c r="E28" s="303">
        <v>47009.599999999999</v>
      </c>
      <c r="F28" s="284"/>
      <c r="G28" s="302"/>
      <c r="H28" s="302"/>
      <c r="I28" s="302"/>
      <c r="J28" s="281">
        <f t="shared" si="1"/>
        <v>0</v>
      </c>
      <c r="K28" s="281">
        <f t="shared" si="2"/>
        <v>48231.849600000001</v>
      </c>
      <c r="L28" s="281">
        <f t="shared" si="3"/>
        <v>0</v>
      </c>
      <c r="AF28" s="916"/>
      <c r="AT28" s="148"/>
    </row>
    <row r="29" spans="1:46" s="108" customFormat="1">
      <c r="A29" s="918" t="s">
        <v>615</v>
      </c>
      <c r="B29" s="720" t="s">
        <v>616</v>
      </c>
      <c r="C29" s="283">
        <v>40544</v>
      </c>
      <c r="D29" s="285"/>
      <c r="E29" s="532">
        <v>165425</v>
      </c>
      <c r="F29" s="303">
        <v>615259</v>
      </c>
      <c r="G29" s="302"/>
      <c r="H29" s="302"/>
      <c r="I29" s="302"/>
      <c r="J29" s="281">
        <f t="shared" si="1"/>
        <v>0</v>
      </c>
      <c r="K29" s="281">
        <f t="shared" si="2"/>
        <v>169726.05000000002</v>
      </c>
      <c r="L29" s="281">
        <f t="shared" si="3"/>
        <v>615259</v>
      </c>
      <c r="AF29" s="916"/>
      <c r="AT29" s="148"/>
    </row>
    <row r="30" spans="1:46" s="108" customFormat="1" ht="13.5" thickBot="1">
      <c r="A30" s="919" t="s">
        <v>617</v>
      </c>
      <c r="B30" s="721" t="s">
        <v>618</v>
      </c>
      <c r="C30" s="304">
        <v>41214</v>
      </c>
      <c r="D30" s="305"/>
      <c r="E30" s="305"/>
      <c r="F30" s="306">
        <v>200755</v>
      </c>
      <c r="G30" s="307"/>
      <c r="H30" s="307"/>
      <c r="I30" s="394">
        <v>9065</v>
      </c>
      <c r="J30" s="308">
        <f t="shared" si="1"/>
        <v>0</v>
      </c>
      <c r="K30" s="308">
        <f t="shared" si="2"/>
        <v>0</v>
      </c>
      <c r="L30" s="308">
        <f t="shared" si="3"/>
        <v>191690</v>
      </c>
      <c r="AF30" s="916"/>
      <c r="AT30" s="148"/>
    </row>
    <row r="31" spans="1:46" s="108" customFormat="1" ht="13.5" thickTop="1">
      <c r="A31" s="169" t="s">
        <v>383</v>
      </c>
      <c r="B31" s="309"/>
      <c r="C31" s="309"/>
      <c r="D31" s="724"/>
      <c r="E31" s="724"/>
      <c r="F31" s="724"/>
      <c r="G31" s="724"/>
      <c r="H31" s="724"/>
      <c r="I31" s="724"/>
      <c r="J31" s="310">
        <f>SUM(J18:J30)</f>
        <v>832252.85324999969</v>
      </c>
      <c r="K31" s="310">
        <f t="shared" ref="K31:L31" si="4">SUM(K18:K30)</f>
        <v>1581548.4252000002</v>
      </c>
      <c r="L31" s="310">
        <f t="shared" si="4"/>
        <v>2072439.4401999998</v>
      </c>
      <c r="AF31" s="916"/>
      <c r="AT31" s="148"/>
    </row>
    <row r="32" spans="1:46" s="108" customFormat="1">
      <c r="A32" s="129"/>
      <c r="AF32" s="916"/>
      <c r="AT32" s="148"/>
    </row>
    <row r="33" spans="1:46" s="108" customFormat="1">
      <c r="A33" s="169" t="s">
        <v>619</v>
      </c>
      <c r="B33" s="169"/>
      <c r="C33" s="169"/>
      <c r="D33" s="169"/>
      <c r="E33" s="169"/>
      <c r="F33" s="169"/>
      <c r="G33" s="169"/>
      <c r="H33" s="169"/>
      <c r="I33" s="169"/>
      <c r="J33" s="169"/>
      <c r="K33" s="169"/>
      <c r="L33" s="169"/>
      <c r="AF33" s="916"/>
      <c r="AT33" s="148"/>
    </row>
    <row r="34" spans="1:46" s="108" customFormat="1">
      <c r="A34" s="920" t="s">
        <v>905</v>
      </c>
      <c r="B34" s="287">
        <f>J31</f>
        <v>832252.85324999969</v>
      </c>
      <c r="AF34" s="916"/>
      <c r="AT34" s="148"/>
    </row>
    <row r="35" spans="1:46" s="108" customFormat="1">
      <c r="A35" s="920" t="s">
        <v>906</v>
      </c>
      <c r="B35" s="287">
        <f>K31</f>
        <v>1581548.4252000002</v>
      </c>
      <c r="AF35" s="916"/>
      <c r="AT35" s="148"/>
    </row>
    <row r="36" spans="1:46" s="108" customFormat="1">
      <c r="A36" s="920" t="s">
        <v>907</v>
      </c>
      <c r="B36" s="287">
        <f>L31</f>
        <v>2072439.4401999998</v>
      </c>
      <c r="AF36" s="916"/>
      <c r="AT36" s="148"/>
    </row>
    <row r="37" spans="1:46" s="108" customFormat="1">
      <c r="A37" s="921" t="s">
        <v>908</v>
      </c>
      <c r="B37" s="725">
        <f>AVERAGE(B34:B36)</f>
        <v>1495413.5728833333</v>
      </c>
      <c r="AF37" s="916"/>
      <c r="AT37" s="148"/>
    </row>
    <row r="38" spans="1:46" s="108" customFormat="1">
      <c r="A38" s="161"/>
      <c r="B38" s="294"/>
      <c r="C38" s="207"/>
      <c r="D38" s="102"/>
      <c r="E38" s="294"/>
      <c r="F38" s="295"/>
      <c r="K38" s="76"/>
      <c r="AF38" s="916"/>
      <c r="AT38" s="148"/>
    </row>
    <row r="39" spans="1:46" s="89" customFormat="1">
      <c r="A39" s="169" t="s">
        <v>1025</v>
      </c>
      <c r="B39" s="31"/>
      <c r="C39" s="31"/>
      <c r="D39" s="108"/>
      <c r="E39" s="108"/>
      <c r="F39" s="108"/>
      <c r="G39" s="108"/>
      <c r="H39" s="108"/>
      <c r="I39" s="108"/>
      <c r="J39" s="108"/>
      <c r="K39" s="76"/>
      <c r="L39" s="108"/>
      <c r="M39" s="108"/>
      <c r="N39" s="108"/>
      <c r="O39" s="108"/>
      <c r="P39" s="108"/>
      <c r="Q39" s="108"/>
      <c r="R39" s="108"/>
      <c r="S39" s="108"/>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221"/>
    </row>
    <row r="40" spans="1:46" s="89" customFormat="1">
      <c r="A40" s="141" t="s">
        <v>1025</v>
      </c>
      <c r="B40" s="1076">
        <f>B37*I10</f>
        <v>1601076.0916641795</v>
      </c>
      <c r="C40" s="108"/>
      <c r="D40" s="108"/>
      <c r="E40" s="108"/>
      <c r="F40" s="108"/>
      <c r="G40" s="108"/>
      <c r="H40" s="108"/>
      <c r="I40" s="108"/>
      <c r="J40" s="108"/>
      <c r="K40" s="108"/>
      <c r="L40" s="108"/>
      <c r="M40" s="108"/>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221"/>
    </row>
    <row r="41" spans="1:46" s="89" customFormat="1">
      <c r="A41" s="144"/>
      <c r="B41" s="108"/>
      <c r="C41" s="108"/>
      <c r="D41" s="108"/>
      <c r="E41" s="108"/>
      <c r="F41" s="108"/>
      <c r="G41" s="108"/>
      <c r="H41" s="108"/>
      <c r="I41" s="108"/>
      <c r="J41" s="108"/>
      <c r="K41" s="76"/>
      <c r="L41" s="108"/>
      <c r="M41" s="108"/>
      <c r="N41" s="108"/>
      <c r="O41" s="108"/>
      <c r="P41" s="108"/>
      <c r="Q41" s="108"/>
      <c r="R41" s="108"/>
      <c r="S41" s="108"/>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221"/>
    </row>
    <row r="42" spans="1:46" s="89" customFormat="1">
      <c r="A42" s="169" t="s">
        <v>1026</v>
      </c>
      <c r="B42" s="112"/>
      <c r="C42" s="228"/>
      <c r="D42" s="108"/>
      <c r="E42" s="108"/>
      <c r="F42" s="108"/>
      <c r="G42" s="108"/>
      <c r="H42" s="108"/>
      <c r="I42" s="108"/>
      <c r="J42" s="108"/>
      <c r="K42" s="108"/>
      <c r="L42" s="108"/>
      <c r="M42" s="516"/>
      <c r="N42" s="251"/>
      <c r="O42" s="251"/>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221"/>
    </row>
    <row r="43" spans="1:46" s="73" customFormat="1">
      <c r="A43" s="130" t="s">
        <v>1027</v>
      </c>
      <c r="B43" s="298">
        <f>(B4/(B4+C4))*B40</f>
        <v>1545283.5773823231</v>
      </c>
      <c r="C43" s="76"/>
      <c r="D43" s="76"/>
      <c r="E43" s="76"/>
      <c r="F43" s="76"/>
      <c r="G43" s="108"/>
      <c r="H43" s="76"/>
      <c r="I43" s="76"/>
      <c r="J43" s="76"/>
      <c r="K43" s="76"/>
      <c r="L43" s="76"/>
      <c r="M43" s="76"/>
      <c r="N43" s="72"/>
      <c r="O43" s="72"/>
      <c r="P43" s="78"/>
      <c r="Q43" s="78"/>
      <c r="R43" s="78"/>
      <c r="S43" s="78"/>
      <c r="T43" s="78"/>
      <c r="U43" s="78"/>
      <c r="V43" s="78"/>
      <c r="W43" s="78"/>
      <c r="X43" s="78"/>
      <c r="Y43" s="78"/>
      <c r="Z43" s="78"/>
      <c r="AA43" s="78"/>
      <c r="AB43" s="78"/>
      <c r="AC43" s="72"/>
      <c r="AD43" s="72"/>
      <c r="AE43" s="72"/>
      <c r="AF43" s="72"/>
      <c r="AG43" s="72"/>
      <c r="AH43" s="72"/>
      <c r="AI43" s="72"/>
      <c r="AJ43" s="72"/>
      <c r="AK43" s="72"/>
      <c r="AL43" s="72"/>
      <c r="AM43" s="72"/>
      <c r="AN43" s="72"/>
      <c r="AO43" s="72"/>
      <c r="AP43" s="72"/>
      <c r="AQ43" s="72"/>
      <c r="AR43" s="72"/>
      <c r="AS43" s="72"/>
      <c r="AT43" s="922"/>
    </row>
    <row r="44" spans="1:46" s="89" customFormat="1">
      <c r="A44" s="130" t="s">
        <v>1028</v>
      </c>
      <c r="B44" s="298">
        <f>(C4/(B4+C4))*B40</f>
        <v>55792.514281856311</v>
      </c>
      <c r="C44" s="108"/>
      <c r="D44" s="108"/>
      <c r="E44" s="108"/>
      <c r="F44" s="108"/>
      <c r="G44" s="108"/>
      <c r="H44" s="108"/>
      <c r="I44" s="108"/>
      <c r="J44" s="108"/>
      <c r="K44" s="108"/>
      <c r="L44" s="108"/>
      <c r="M44" s="108"/>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221"/>
    </row>
    <row r="45" spans="1:46" s="89" customFormat="1">
      <c r="A45" s="130"/>
      <c r="B45" s="64"/>
      <c r="C45" s="103"/>
      <c r="D45" s="108"/>
      <c r="E45" s="108"/>
      <c r="F45" s="108"/>
      <c r="G45" s="108"/>
      <c r="H45" s="108"/>
      <c r="I45" s="108"/>
      <c r="J45" s="108"/>
      <c r="K45" s="108"/>
      <c r="L45" s="108"/>
      <c r="M45" s="108"/>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221"/>
    </row>
    <row r="46" spans="1:46" s="89" customFormat="1">
      <c r="A46" s="728" t="s">
        <v>1040</v>
      </c>
      <c r="B46" s="64"/>
      <c r="C46" s="103"/>
      <c r="D46" s="108"/>
      <c r="E46" s="108"/>
      <c r="F46" s="108"/>
      <c r="G46" s="108"/>
      <c r="H46" s="108"/>
      <c r="I46" s="108"/>
      <c r="J46" s="108"/>
      <c r="K46" s="108"/>
      <c r="L46" s="108"/>
      <c r="M46" s="108"/>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221"/>
    </row>
    <row r="47" spans="1:46" s="89" customFormat="1">
      <c r="A47" s="130" t="s">
        <v>1053</v>
      </c>
      <c r="B47" s="1062">
        <f>Parameters!B84</f>
        <v>854760619.38343453</v>
      </c>
      <c r="C47" s="103"/>
      <c r="D47" s="108"/>
      <c r="E47" s="108"/>
      <c r="F47" s="108"/>
      <c r="G47" s="108"/>
      <c r="H47" s="108"/>
      <c r="I47" s="108"/>
      <c r="J47" s="108"/>
      <c r="K47" s="108"/>
      <c r="L47" s="108"/>
      <c r="M47" s="108"/>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221"/>
    </row>
    <row r="48" spans="1:46" s="89" customFormat="1">
      <c r="A48" s="130" t="s">
        <v>1050</v>
      </c>
      <c r="B48" s="655">
        <f>Parameters!C83</f>
        <v>31110941.808018349</v>
      </c>
      <c r="C48" s="103"/>
      <c r="D48" s="108"/>
      <c r="E48" s="108"/>
      <c r="F48" s="108"/>
      <c r="G48" s="108"/>
      <c r="H48" s="108"/>
      <c r="I48" s="108"/>
      <c r="J48" s="108"/>
      <c r="K48" s="108"/>
      <c r="L48" s="108"/>
      <c r="M48" s="108"/>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221"/>
    </row>
    <row r="49" spans="1:46" s="89" customFormat="1">
      <c r="A49" s="33"/>
      <c r="B49" s="722"/>
      <c r="C49" s="108"/>
      <c r="D49" s="108"/>
      <c r="E49" s="108"/>
      <c r="F49" s="108"/>
      <c r="G49" s="108"/>
      <c r="H49" s="108"/>
      <c r="I49" s="108"/>
      <c r="J49" s="108"/>
      <c r="K49" s="108"/>
      <c r="L49" s="108"/>
      <c r="M49" s="108"/>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221"/>
    </row>
    <row r="50" spans="1:46" s="89" customFormat="1">
      <c r="A50" s="169" t="s">
        <v>1052</v>
      </c>
      <c r="B50" s="31"/>
      <c r="C50" s="108"/>
      <c r="D50" s="299"/>
      <c r="E50" s="108"/>
      <c r="F50" s="108"/>
      <c r="G50" s="108"/>
      <c r="H50" s="108"/>
      <c r="I50" s="108"/>
      <c r="J50" s="108"/>
      <c r="K50" s="76"/>
      <c r="L50" s="108"/>
      <c r="M50" s="108"/>
      <c r="N50" s="108"/>
      <c r="O50" s="108"/>
      <c r="P50" s="108"/>
      <c r="Q50" s="108"/>
      <c r="R50" s="108"/>
      <c r="S50" s="108"/>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221"/>
    </row>
    <row r="51" spans="1:46" s="89" customFormat="1">
      <c r="A51" s="131" t="s">
        <v>911</v>
      </c>
      <c r="B51" s="140">
        <f>B43/B47</f>
        <v>1.8078553718314542E-3</v>
      </c>
      <c r="C51" s="108"/>
      <c r="D51" s="108"/>
      <c r="E51" s="108"/>
      <c r="F51" s="108"/>
      <c r="G51" s="108"/>
      <c r="H51" s="108"/>
      <c r="I51" s="108"/>
      <c r="J51" s="108"/>
      <c r="K51" s="108"/>
      <c r="L51" s="108"/>
      <c r="M51" s="108"/>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221"/>
    </row>
    <row r="52" spans="1:46" s="73" customFormat="1">
      <c r="A52" s="131" t="s">
        <v>515</v>
      </c>
      <c r="B52" s="140">
        <f>B44/B48</f>
        <v>1.7933405753559244E-3</v>
      </c>
      <c r="C52" s="76"/>
      <c r="D52" s="76"/>
      <c r="E52" s="76"/>
      <c r="F52" s="76"/>
      <c r="G52" s="435"/>
      <c r="H52" s="76"/>
      <c r="I52" s="76"/>
      <c r="J52" s="76"/>
      <c r="K52" s="76"/>
      <c r="L52" s="76"/>
      <c r="M52" s="76"/>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922"/>
    </row>
    <row r="53" spans="1:46" s="102" customFormat="1">
      <c r="A53" s="129"/>
      <c r="B53" s="108"/>
      <c r="C53" s="103"/>
      <c r="D53" s="76"/>
      <c r="E53" s="103"/>
      <c r="F53" s="72"/>
      <c r="J53" s="216"/>
      <c r="K53" s="74"/>
      <c r="L53" s="216"/>
      <c r="M53" s="216"/>
      <c r="N53" s="216"/>
      <c r="O53" s="216"/>
      <c r="P53" s="216"/>
      <c r="Q53" s="216"/>
      <c r="R53" s="216"/>
      <c r="S53" s="216"/>
      <c r="AT53" s="221"/>
    </row>
    <row r="54" spans="1:46" s="89" customFormat="1">
      <c r="A54" s="128"/>
      <c r="B54" s="102"/>
      <c r="C54" s="72"/>
      <c r="D54" s="102"/>
      <c r="E54" s="166"/>
      <c r="F54" s="102"/>
      <c r="G54" s="104"/>
      <c r="H54" s="102"/>
      <c r="I54" s="102"/>
      <c r="J54" s="108"/>
      <c r="K54" s="76"/>
      <c r="L54" s="108"/>
      <c r="M54" s="108"/>
      <c r="N54" s="108"/>
      <c r="O54" s="108"/>
      <c r="P54" s="108"/>
      <c r="Q54" s="108"/>
      <c r="R54" s="108"/>
      <c r="S54" s="108"/>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221"/>
    </row>
    <row r="55" spans="1:46" s="89" customFormat="1">
      <c r="A55" s="128"/>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221"/>
    </row>
    <row r="56" spans="1:46" s="230" customFormat="1">
      <c r="A56" s="923"/>
      <c r="B56" s="154"/>
      <c r="C56" s="154"/>
      <c r="D56" s="154"/>
      <c r="E56" s="154"/>
      <c r="F56" s="154"/>
      <c r="G56" s="154"/>
      <c r="H56" s="154"/>
      <c r="I56" s="154"/>
      <c r="J56" s="154"/>
      <c r="K56" s="154"/>
      <c r="L56" s="154"/>
      <c r="M56" s="85"/>
      <c r="N56" s="85"/>
      <c r="O56" s="85"/>
      <c r="P56" s="85"/>
      <c r="Q56" s="85"/>
      <c r="R56" s="85"/>
      <c r="S56" s="85"/>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924"/>
    </row>
    <row r="57" spans="1:46" s="89" customFormat="1">
      <c r="A57" s="128"/>
      <c r="B57" s="102"/>
      <c r="C57" s="102"/>
      <c r="D57" s="102"/>
      <c r="E57" s="102"/>
      <c r="F57" s="102"/>
      <c r="G57" s="102"/>
      <c r="H57" s="102"/>
      <c r="I57" s="102"/>
      <c r="J57" s="102"/>
      <c r="K57" s="102"/>
      <c r="L57" s="102"/>
      <c r="M57" s="108"/>
      <c r="N57" s="108"/>
      <c r="O57" s="108"/>
      <c r="P57" s="108"/>
      <c r="Q57" s="108"/>
      <c r="R57" s="108"/>
      <c r="S57" s="108"/>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221"/>
    </row>
    <row r="58" spans="1:46" s="89" customFormat="1">
      <c r="A58" s="128"/>
      <c r="B58" s="102"/>
      <c r="C58" s="102"/>
      <c r="D58" s="102"/>
      <c r="E58" s="102"/>
      <c r="F58" s="102"/>
      <c r="G58" s="102"/>
      <c r="H58" s="102"/>
      <c r="I58" s="102"/>
      <c r="J58" s="102"/>
      <c r="K58" s="102"/>
      <c r="L58" s="102"/>
      <c r="M58" s="108"/>
      <c r="N58" s="108"/>
      <c r="O58" s="108"/>
      <c r="P58" s="108"/>
      <c r="Q58" s="108"/>
      <c r="R58" s="108"/>
      <c r="S58" s="108"/>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221"/>
    </row>
    <row r="59" spans="1:46" s="89" customFormat="1">
      <c r="A59" s="128"/>
      <c r="B59" s="102"/>
      <c r="C59" s="102"/>
      <c r="D59" s="102"/>
      <c r="E59" s="102"/>
      <c r="F59" s="102"/>
      <c r="G59" s="102"/>
      <c r="H59" s="102"/>
      <c r="I59" s="102"/>
      <c r="J59" s="102"/>
      <c r="K59" s="102"/>
      <c r="L59" s="102"/>
      <c r="M59" s="108"/>
      <c r="N59" s="108"/>
      <c r="O59" s="108"/>
      <c r="P59" s="108"/>
      <c r="Q59" s="108"/>
      <c r="R59" s="108"/>
      <c r="S59" s="108"/>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221"/>
    </row>
    <row r="60" spans="1:46" s="89" customFormat="1">
      <c r="A60" s="128"/>
      <c r="B60" s="102"/>
      <c r="C60" s="102"/>
      <c r="D60" s="102"/>
      <c r="E60" s="102"/>
      <c r="F60" s="102"/>
      <c r="G60" s="102"/>
      <c r="H60" s="102"/>
      <c r="I60" s="102"/>
      <c r="J60" s="102"/>
      <c r="K60" s="102"/>
      <c r="L60" s="102"/>
      <c r="M60" s="108"/>
      <c r="N60" s="108"/>
      <c r="O60" s="108"/>
      <c r="P60" s="108"/>
      <c r="Q60" s="108"/>
      <c r="R60" s="108"/>
      <c r="S60" s="108"/>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221"/>
    </row>
    <row r="61" spans="1:46" s="89" customFormat="1">
      <c r="A61" s="128"/>
      <c r="B61" s="102"/>
      <c r="C61" s="102"/>
      <c r="D61" s="102"/>
      <c r="E61" s="102"/>
      <c r="F61" s="102"/>
      <c r="G61" s="102"/>
      <c r="H61" s="102"/>
      <c r="I61" s="102"/>
      <c r="J61" s="102"/>
      <c r="K61" s="102"/>
      <c r="L61" s="102"/>
      <c r="M61" s="108"/>
      <c r="N61" s="108"/>
      <c r="O61" s="108"/>
      <c r="P61" s="108"/>
      <c r="Q61" s="108"/>
      <c r="R61" s="108"/>
      <c r="S61" s="108"/>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221"/>
    </row>
    <row r="62" spans="1:46" s="230" customFormat="1">
      <c r="A62" s="923"/>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924"/>
    </row>
    <row r="63" spans="1:46" s="89" customFormat="1">
      <c r="A63" s="128"/>
      <c r="B63" s="102"/>
      <c r="C63" s="102"/>
      <c r="D63" s="102"/>
      <c r="E63" s="102"/>
      <c r="F63" s="102"/>
      <c r="G63" s="102"/>
      <c r="H63" s="102"/>
      <c r="I63" s="102"/>
      <c r="J63" s="102"/>
      <c r="K63" s="102"/>
      <c r="L63" s="102"/>
      <c r="M63" s="216"/>
      <c r="N63" s="216"/>
      <c r="O63" s="216"/>
      <c r="P63" s="216"/>
      <c r="Q63" s="216"/>
      <c r="R63" s="216"/>
      <c r="S63" s="216"/>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221"/>
    </row>
    <row r="64" spans="1:46" s="89" customFormat="1">
      <c r="A64" s="128"/>
      <c r="B64" s="102"/>
      <c r="C64" s="102"/>
      <c r="D64" s="102"/>
      <c r="E64" s="102"/>
      <c r="F64" s="102"/>
      <c r="G64" s="102"/>
      <c r="H64" s="102"/>
      <c r="I64" s="102"/>
      <c r="J64" s="102"/>
      <c r="K64" s="102"/>
      <c r="L64" s="102"/>
      <c r="M64" s="108"/>
      <c r="N64" s="108"/>
      <c r="O64" s="108"/>
      <c r="P64" s="108"/>
      <c r="Q64" s="108"/>
      <c r="R64" s="108"/>
      <c r="S64" s="108"/>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221"/>
    </row>
    <row r="65" spans="1:46" s="89" customFormat="1">
      <c r="A65" s="128"/>
      <c r="B65" s="102"/>
      <c r="C65" s="102"/>
      <c r="D65" s="102"/>
      <c r="E65" s="102"/>
      <c r="F65" s="102"/>
      <c r="G65" s="102"/>
      <c r="H65" s="102"/>
      <c r="I65" s="102"/>
      <c r="J65" s="102"/>
      <c r="K65" s="102"/>
      <c r="L65" s="102"/>
      <c r="M65" s="108"/>
      <c r="N65" s="108"/>
      <c r="O65" s="108"/>
      <c r="P65" s="108"/>
      <c r="Q65" s="108"/>
      <c r="R65" s="108"/>
      <c r="S65" s="108"/>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221"/>
    </row>
    <row r="66" spans="1:46" s="89" customFormat="1">
      <c r="A66" s="128"/>
      <c r="B66" s="102"/>
      <c r="C66" s="102"/>
      <c r="D66" s="102"/>
      <c r="E66" s="102"/>
      <c r="F66" s="102"/>
      <c r="G66" s="102"/>
      <c r="H66" s="102"/>
      <c r="I66" s="102"/>
      <c r="J66" s="102"/>
      <c r="K66" s="102"/>
      <c r="L66" s="102"/>
      <c r="M66" s="108"/>
      <c r="N66" s="108"/>
      <c r="O66" s="108"/>
      <c r="P66" s="108"/>
      <c r="Q66" s="108"/>
      <c r="R66" s="108"/>
      <c r="S66" s="108"/>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221"/>
    </row>
    <row r="67" spans="1:46" s="89" customFormat="1">
      <c r="A67" s="128"/>
      <c r="B67" s="102"/>
      <c r="C67" s="102"/>
      <c r="D67" s="102"/>
      <c r="E67" s="102"/>
      <c r="F67" s="102"/>
      <c r="G67" s="102"/>
      <c r="H67" s="102"/>
      <c r="I67" s="102"/>
      <c r="J67" s="102"/>
      <c r="K67" s="102"/>
      <c r="L67" s="102"/>
      <c r="M67" s="108"/>
      <c r="N67" s="108"/>
      <c r="O67" s="108"/>
      <c r="P67" s="108"/>
      <c r="Q67" s="108"/>
      <c r="R67" s="108"/>
      <c r="S67" s="108"/>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221"/>
    </row>
    <row r="68" spans="1:46" s="89" customFormat="1">
      <c r="A68" s="128"/>
      <c r="B68" s="102"/>
      <c r="C68" s="102"/>
      <c r="D68" s="102"/>
      <c r="E68" s="102"/>
      <c r="F68" s="102"/>
      <c r="G68" s="102"/>
      <c r="H68" s="102"/>
      <c r="I68" s="102"/>
      <c r="J68" s="102"/>
      <c r="K68" s="102"/>
      <c r="L68" s="102"/>
      <c r="M68" s="108"/>
      <c r="N68" s="108"/>
      <c r="O68" s="108"/>
      <c r="P68" s="108"/>
      <c r="Q68" s="108"/>
      <c r="R68" s="108"/>
      <c r="S68" s="108"/>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221"/>
    </row>
    <row r="69" spans="1:46" s="230" customFormat="1">
      <c r="A69" s="923"/>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924"/>
    </row>
    <row r="70" spans="1:46" s="89" customFormat="1">
      <c r="A70" s="128"/>
      <c r="B70" s="102"/>
      <c r="C70" s="102"/>
      <c r="D70" s="102"/>
      <c r="E70" s="102"/>
      <c r="F70" s="102"/>
      <c r="G70" s="102"/>
      <c r="H70" s="102"/>
      <c r="I70" s="102"/>
      <c r="J70" s="102"/>
      <c r="K70" s="102"/>
      <c r="L70" s="102"/>
      <c r="M70" s="216"/>
      <c r="N70" s="216"/>
      <c r="O70" s="216"/>
      <c r="P70" s="216"/>
      <c r="Q70" s="216"/>
      <c r="R70" s="216"/>
      <c r="S70" s="216"/>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221"/>
    </row>
    <row r="71" spans="1:46" s="89" customFormat="1">
      <c r="A71" s="128"/>
      <c r="B71" s="102"/>
      <c r="C71" s="102"/>
      <c r="D71" s="102"/>
      <c r="E71" s="102"/>
      <c r="F71" s="102"/>
      <c r="G71" s="102"/>
      <c r="H71" s="102"/>
      <c r="I71" s="102"/>
      <c r="J71" s="102"/>
      <c r="K71" s="102"/>
      <c r="L71" s="102"/>
      <c r="M71" s="108"/>
      <c r="N71" s="108"/>
      <c r="O71" s="108"/>
      <c r="P71" s="108"/>
      <c r="Q71" s="108"/>
      <c r="R71" s="108"/>
      <c r="S71" s="108"/>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221"/>
    </row>
    <row r="72" spans="1:46" s="89" customFormat="1">
      <c r="A72" s="128"/>
      <c r="B72" s="102"/>
      <c r="C72" s="102"/>
      <c r="D72" s="102"/>
      <c r="E72" s="102"/>
      <c r="F72" s="102"/>
      <c r="G72" s="102"/>
      <c r="H72" s="102"/>
      <c r="I72" s="102"/>
      <c r="J72" s="102"/>
      <c r="K72" s="102"/>
      <c r="L72" s="102"/>
      <c r="M72" s="108"/>
      <c r="N72" s="108"/>
      <c r="O72" s="108"/>
      <c r="P72" s="108"/>
      <c r="Q72" s="108"/>
      <c r="R72" s="108"/>
      <c r="S72" s="108"/>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221"/>
    </row>
    <row r="73" spans="1:46" s="89" customFormat="1">
      <c r="A73" s="128"/>
      <c r="B73" s="102"/>
      <c r="C73" s="102"/>
      <c r="D73" s="102"/>
      <c r="E73" s="102"/>
      <c r="F73" s="102"/>
      <c r="G73" s="102"/>
      <c r="H73" s="102"/>
      <c r="I73" s="102"/>
      <c r="J73" s="102"/>
      <c r="K73" s="102"/>
      <c r="L73" s="102"/>
      <c r="M73" s="108"/>
      <c r="N73" s="108"/>
      <c r="O73" s="108"/>
      <c r="P73" s="108"/>
      <c r="Q73" s="108"/>
      <c r="R73" s="108"/>
      <c r="S73" s="108"/>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221"/>
    </row>
    <row r="74" spans="1:46" s="89" customFormat="1">
      <c r="A74" s="128"/>
      <c r="B74" s="102"/>
      <c r="C74" s="102"/>
      <c r="D74" s="102"/>
      <c r="E74" s="102"/>
      <c r="F74" s="102"/>
      <c r="G74" s="102"/>
      <c r="H74" s="102"/>
      <c r="I74" s="102"/>
      <c r="J74" s="102"/>
      <c r="K74" s="102"/>
      <c r="L74" s="102"/>
      <c r="M74" s="108"/>
      <c r="N74" s="108"/>
      <c r="O74" s="108"/>
      <c r="P74" s="108"/>
      <c r="Q74" s="108"/>
      <c r="R74" s="108"/>
      <c r="S74" s="108"/>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221"/>
    </row>
    <row r="75" spans="1:46" s="89" customFormat="1">
      <c r="A75" s="128"/>
      <c r="B75" s="102"/>
      <c r="C75" s="102"/>
      <c r="D75" s="102"/>
      <c r="E75" s="102"/>
      <c r="F75" s="102"/>
      <c r="G75" s="102"/>
      <c r="H75" s="102"/>
      <c r="I75" s="102"/>
      <c r="J75" s="102"/>
      <c r="K75" s="102"/>
      <c r="L75" s="102"/>
      <c r="M75" s="108"/>
      <c r="N75" s="108"/>
      <c r="O75" s="108"/>
      <c r="P75" s="108"/>
      <c r="Q75" s="108"/>
      <c r="R75" s="108"/>
      <c r="S75" s="108"/>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221"/>
    </row>
    <row r="76" spans="1:46" s="230" customFormat="1">
      <c r="A76" s="923"/>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4"/>
      <c r="AS76" s="154"/>
      <c r="AT76" s="924"/>
    </row>
    <row r="77" spans="1:46" s="230" customFormat="1">
      <c r="A77" s="925"/>
      <c r="B77" s="530"/>
      <c r="C77" s="530"/>
      <c r="D77" s="530"/>
      <c r="E77" s="530"/>
      <c r="F77" s="530"/>
      <c r="G77" s="530"/>
      <c r="H77" s="530"/>
      <c r="I77" s="530"/>
      <c r="J77" s="85"/>
      <c r="K77" s="85"/>
      <c r="L77" s="85"/>
      <c r="M77" s="85"/>
      <c r="N77" s="85"/>
      <c r="O77" s="85"/>
      <c r="P77" s="85"/>
      <c r="Q77" s="85"/>
      <c r="R77" s="85"/>
      <c r="S77" s="85"/>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924"/>
    </row>
    <row r="78" spans="1:46" s="89" customFormat="1">
      <c r="A78" s="128"/>
      <c r="B78" s="418"/>
      <c r="C78" s="418"/>
      <c r="D78" s="112"/>
      <c r="E78" s="714"/>
      <c r="F78" s="418"/>
      <c r="G78" s="418"/>
      <c r="H78" s="418"/>
      <c r="I78" s="715"/>
      <c r="J78" s="108"/>
      <c r="K78" s="108"/>
      <c r="L78" s="108"/>
      <c r="M78" s="108"/>
      <c r="N78" s="108"/>
      <c r="O78" s="108"/>
      <c r="P78" s="108"/>
      <c r="Q78" s="108"/>
      <c r="R78" s="108"/>
      <c r="S78" s="108"/>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221"/>
    </row>
    <row r="79" spans="1:46" s="89" customFormat="1">
      <c r="A79" s="128"/>
      <c r="B79" s="418"/>
      <c r="C79" s="418"/>
      <c r="D79" s="112"/>
      <c r="E79" s="714"/>
      <c r="F79" s="418"/>
      <c r="G79" s="418"/>
      <c r="H79" s="418"/>
      <c r="I79" s="715"/>
      <c r="J79" s="108"/>
      <c r="K79" s="108"/>
      <c r="L79" s="108"/>
      <c r="M79" s="108"/>
      <c r="N79" s="108"/>
      <c r="O79" s="108"/>
      <c r="P79" s="108"/>
      <c r="Q79" s="108"/>
      <c r="R79" s="108"/>
      <c r="S79" s="108"/>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221"/>
    </row>
    <row r="80" spans="1:46" s="89" customFormat="1">
      <c r="A80" s="128"/>
      <c r="B80" s="418"/>
      <c r="C80" s="418"/>
      <c r="D80" s="112"/>
      <c r="E80" s="714"/>
      <c r="F80" s="418"/>
      <c r="G80" s="418"/>
      <c r="H80" s="418"/>
      <c r="I80" s="715"/>
      <c r="J80" s="108"/>
      <c r="K80" s="108"/>
      <c r="L80" s="108"/>
      <c r="M80" s="108"/>
      <c r="N80" s="108"/>
      <c r="O80" s="108"/>
      <c r="P80" s="108"/>
      <c r="Q80" s="108"/>
      <c r="R80" s="108"/>
      <c r="S80" s="108"/>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221"/>
    </row>
    <row r="81" spans="1:46" s="89" customFormat="1">
      <c r="A81" s="128"/>
      <c r="B81" s="418"/>
      <c r="C81" s="418"/>
      <c r="D81" s="112"/>
      <c r="E81" s="714"/>
      <c r="F81" s="418"/>
      <c r="G81" s="418"/>
      <c r="H81" s="418"/>
      <c r="I81" s="715"/>
      <c r="J81" s="108"/>
      <c r="K81" s="108"/>
      <c r="L81" s="108"/>
      <c r="M81" s="108"/>
      <c r="N81" s="108"/>
      <c r="O81" s="108"/>
      <c r="P81" s="108"/>
      <c r="Q81" s="108"/>
      <c r="R81" s="108"/>
      <c r="S81" s="108"/>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221"/>
    </row>
    <row r="82" spans="1:46" s="89" customFormat="1">
      <c r="A82" s="128"/>
      <c r="B82" s="102"/>
      <c r="C82" s="102"/>
      <c r="D82" s="102"/>
      <c r="E82" s="102"/>
      <c r="F82" s="102"/>
      <c r="G82" s="102"/>
      <c r="H82" s="102"/>
      <c r="I82" s="102"/>
      <c r="J82" s="228"/>
      <c r="K82" s="76"/>
      <c r="L82" s="108"/>
      <c r="M82" s="108"/>
      <c r="N82" s="108"/>
      <c r="O82" s="108"/>
      <c r="P82" s="108"/>
      <c r="Q82" s="108"/>
      <c r="R82" s="108"/>
      <c r="S82" s="108"/>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221"/>
    </row>
    <row r="83" spans="1:46" s="230" customFormat="1">
      <c r="A83" s="926"/>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c r="AB83" s="154"/>
      <c r="AC83" s="154"/>
      <c r="AD83" s="154"/>
      <c r="AE83" s="154"/>
      <c r="AF83" s="154"/>
      <c r="AG83" s="154"/>
      <c r="AH83" s="154"/>
      <c r="AI83" s="154"/>
      <c r="AJ83" s="154"/>
      <c r="AK83" s="154"/>
      <c r="AL83" s="154"/>
      <c r="AM83" s="154"/>
      <c r="AN83" s="154"/>
      <c r="AO83" s="154"/>
      <c r="AP83" s="154"/>
      <c r="AQ83" s="154"/>
      <c r="AR83" s="154"/>
      <c r="AS83" s="154"/>
      <c r="AT83" s="924"/>
    </row>
    <row r="84" spans="1:46" s="230" customFormat="1">
      <c r="A84" s="925"/>
      <c r="B84" s="530"/>
      <c r="C84" s="530"/>
      <c r="D84" s="530"/>
      <c r="E84" s="530"/>
      <c r="F84" s="530"/>
      <c r="G84" s="530"/>
      <c r="H84" s="530"/>
      <c r="I84" s="530"/>
      <c r="J84" s="85"/>
      <c r="K84" s="85"/>
      <c r="L84" s="85"/>
      <c r="M84" s="85"/>
      <c r="N84" s="85"/>
      <c r="O84" s="85"/>
      <c r="P84" s="85"/>
      <c r="Q84" s="85"/>
      <c r="R84" s="85"/>
      <c r="S84" s="85"/>
      <c r="T84" s="154"/>
      <c r="U84" s="154"/>
      <c r="V84" s="154"/>
      <c r="W84" s="154"/>
      <c r="X84" s="154"/>
      <c r="Y84" s="154"/>
      <c r="Z84" s="154"/>
      <c r="AA84" s="154"/>
      <c r="AB84" s="154"/>
      <c r="AC84" s="154"/>
      <c r="AD84" s="154"/>
      <c r="AE84" s="154"/>
      <c r="AF84" s="154"/>
      <c r="AG84" s="154"/>
      <c r="AH84" s="154"/>
      <c r="AI84" s="154"/>
      <c r="AJ84" s="154"/>
      <c r="AK84" s="154"/>
      <c r="AL84" s="154"/>
      <c r="AM84" s="154"/>
      <c r="AN84" s="154"/>
      <c r="AO84" s="154"/>
      <c r="AP84" s="154"/>
      <c r="AQ84" s="154"/>
      <c r="AR84" s="154"/>
      <c r="AS84" s="154"/>
      <c r="AT84" s="924"/>
    </row>
    <row r="85" spans="1:46" s="89" customFormat="1">
      <c r="A85" s="128"/>
      <c r="B85" s="418"/>
      <c r="C85" s="418"/>
      <c r="D85" s="112"/>
      <c r="E85" s="714"/>
      <c r="F85" s="418"/>
      <c r="G85" s="418"/>
      <c r="H85" s="418"/>
      <c r="I85" s="716"/>
      <c r="J85" s="108"/>
      <c r="K85" s="108"/>
      <c r="L85" s="108"/>
      <c r="M85" s="108"/>
      <c r="N85" s="108"/>
      <c r="O85" s="108"/>
      <c r="P85" s="108"/>
      <c r="Q85" s="108"/>
      <c r="R85" s="108"/>
      <c r="S85" s="108"/>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221"/>
    </row>
    <row r="86" spans="1:46" s="89" customFormat="1">
      <c r="A86" s="128"/>
      <c r="B86" s="418"/>
      <c r="C86" s="418"/>
      <c r="D86" s="112"/>
      <c r="E86" s="714"/>
      <c r="F86" s="418"/>
      <c r="G86" s="418"/>
      <c r="H86" s="418"/>
      <c r="I86" s="716"/>
      <c r="J86" s="108"/>
      <c r="K86" s="108"/>
      <c r="L86" s="108"/>
      <c r="M86" s="108"/>
      <c r="N86" s="108"/>
      <c r="O86" s="108"/>
      <c r="P86" s="108"/>
      <c r="Q86" s="108"/>
      <c r="R86" s="108"/>
      <c r="S86" s="108"/>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221"/>
    </row>
    <row r="87" spans="1:46" s="89" customFormat="1">
      <c r="A87" s="128"/>
      <c r="B87" s="418"/>
      <c r="C87" s="418"/>
      <c r="D87" s="112"/>
      <c r="E87" s="714"/>
      <c r="F87" s="418"/>
      <c r="G87" s="418"/>
      <c r="H87" s="418"/>
      <c r="I87" s="716"/>
      <c r="J87" s="108"/>
      <c r="K87" s="108"/>
      <c r="L87" s="108"/>
      <c r="M87" s="108"/>
      <c r="N87" s="108"/>
      <c r="O87" s="108"/>
      <c r="P87" s="108"/>
      <c r="Q87" s="108"/>
      <c r="R87" s="108"/>
      <c r="S87" s="108"/>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221"/>
    </row>
    <row r="88" spans="1:46" s="89" customFormat="1">
      <c r="A88" s="128"/>
      <c r="B88" s="418"/>
      <c r="C88" s="418"/>
      <c r="D88" s="112"/>
      <c r="E88" s="714"/>
      <c r="F88" s="418"/>
      <c r="G88" s="418"/>
      <c r="H88" s="418"/>
      <c r="I88" s="716"/>
      <c r="J88" s="108"/>
      <c r="K88" s="108"/>
      <c r="L88" s="108"/>
      <c r="M88" s="108"/>
      <c r="N88" s="108"/>
      <c r="O88" s="108"/>
      <c r="P88" s="108"/>
      <c r="Q88" s="108"/>
      <c r="R88" s="108"/>
      <c r="S88" s="108"/>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221"/>
    </row>
    <row r="89" spans="1:46" s="89" customFormat="1">
      <c r="A89" s="128"/>
      <c r="B89" s="102"/>
      <c r="C89" s="102"/>
      <c r="D89" s="102"/>
      <c r="E89" s="102"/>
      <c r="F89" s="102"/>
      <c r="G89" s="102"/>
      <c r="H89" s="102"/>
      <c r="I89" s="102"/>
      <c r="J89" s="108"/>
      <c r="K89" s="76"/>
      <c r="L89" s="108"/>
      <c r="M89" s="108"/>
      <c r="N89" s="108"/>
      <c r="O89" s="108"/>
      <c r="P89" s="108"/>
      <c r="Q89" s="108"/>
      <c r="R89" s="108"/>
      <c r="S89" s="108"/>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221"/>
    </row>
    <row r="90" spans="1:46" s="230" customFormat="1">
      <c r="A90" s="926"/>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T90" s="924"/>
    </row>
    <row r="91" spans="1:46" s="230" customFormat="1">
      <c r="A91" s="925"/>
      <c r="B91" s="530"/>
      <c r="C91" s="530"/>
      <c r="D91" s="530"/>
      <c r="E91" s="530"/>
      <c r="F91" s="530"/>
      <c r="G91" s="530"/>
      <c r="H91" s="530"/>
      <c r="I91" s="530"/>
      <c r="J91" s="85"/>
      <c r="K91" s="85"/>
      <c r="L91" s="85"/>
      <c r="M91" s="85"/>
      <c r="N91" s="85"/>
      <c r="O91" s="85"/>
      <c r="P91" s="85"/>
      <c r="Q91" s="85"/>
      <c r="R91" s="85"/>
      <c r="S91" s="85"/>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4"/>
      <c r="AS91" s="154"/>
      <c r="AT91" s="924"/>
    </row>
    <row r="92" spans="1:46" s="89" customFormat="1">
      <c r="A92" s="128"/>
      <c r="B92" s="418"/>
      <c r="C92" s="418"/>
      <c r="D92" s="112"/>
      <c r="E92" s="714"/>
      <c r="F92" s="418"/>
      <c r="G92" s="418"/>
      <c r="H92" s="418"/>
      <c r="I92" s="716"/>
      <c r="J92" s="108"/>
      <c r="K92" s="108"/>
      <c r="L92" s="108"/>
      <c r="M92" s="108"/>
      <c r="N92" s="108"/>
      <c r="O92" s="108"/>
      <c r="P92" s="108"/>
      <c r="Q92" s="108"/>
      <c r="R92" s="108"/>
      <c r="S92" s="108"/>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221"/>
    </row>
    <row r="93" spans="1:46" s="89" customFormat="1">
      <c r="A93" s="128"/>
      <c r="B93" s="418"/>
      <c r="C93" s="418"/>
      <c r="D93" s="112"/>
      <c r="E93" s="714"/>
      <c r="F93" s="418"/>
      <c r="G93" s="418"/>
      <c r="H93" s="418"/>
      <c r="I93" s="716"/>
      <c r="J93" s="108"/>
      <c r="K93" s="108"/>
      <c r="L93" s="108"/>
      <c r="M93" s="108"/>
      <c r="N93" s="108"/>
      <c r="O93" s="108"/>
      <c r="P93" s="108"/>
      <c r="Q93" s="108"/>
      <c r="R93" s="108"/>
      <c r="S93" s="108"/>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221"/>
    </row>
    <row r="94" spans="1:46" s="89" customFormat="1">
      <c r="A94" s="128"/>
      <c r="B94" s="418"/>
      <c r="C94" s="418"/>
      <c r="D94" s="112"/>
      <c r="E94" s="714"/>
      <c r="F94" s="418"/>
      <c r="G94" s="418"/>
      <c r="H94" s="418"/>
      <c r="I94" s="716"/>
      <c r="J94" s="108"/>
      <c r="K94" s="108"/>
      <c r="L94" s="108"/>
      <c r="M94" s="108"/>
      <c r="N94" s="108"/>
      <c r="O94" s="108"/>
      <c r="P94" s="108"/>
      <c r="Q94" s="108"/>
      <c r="R94" s="108"/>
      <c r="S94" s="108"/>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221"/>
    </row>
    <row r="95" spans="1:46" s="89" customFormat="1">
      <c r="A95" s="128"/>
      <c r="B95" s="418"/>
      <c r="C95" s="418"/>
      <c r="D95" s="112"/>
      <c r="E95" s="714"/>
      <c r="F95" s="418"/>
      <c r="G95" s="418"/>
      <c r="H95" s="418"/>
      <c r="I95" s="716"/>
      <c r="J95" s="108"/>
      <c r="K95" s="108"/>
      <c r="L95" s="108"/>
      <c r="M95" s="108"/>
      <c r="N95" s="108"/>
      <c r="O95" s="108"/>
      <c r="P95" s="108"/>
      <c r="Q95" s="108"/>
      <c r="R95" s="108"/>
      <c r="S95" s="108"/>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221"/>
    </row>
    <row r="96" spans="1:46" s="89" customFormat="1">
      <c r="A96" s="128"/>
      <c r="B96" s="102"/>
      <c r="C96" s="102"/>
      <c r="D96" s="102"/>
      <c r="E96" s="102"/>
      <c r="F96" s="102"/>
      <c r="G96" s="102"/>
      <c r="H96" s="102"/>
      <c r="I96" s="102"/>
      <c r="J96" s="108"/>
      <c r="K96" s="76" t="s">
        <v>513</v>
      </c>
      <c r="L96" s="108"/>
      <c r="M96" s="108"/>
      <c r="N96" s="108"/>
      <c r="O96" s="108"/>
      <c r="P96" s="108"/>
      <c r="Q96" s="108"/>
      <c r="R96" s="108"/>
      <c r="S96" s="108"/>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221"/>
    </row>
    <row r="97" spans="1:46" s="230" customFormat="1">
      <c r="A97" s="926"/>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4"/>
      <c r="AO97" s="154"/>
      <c r="AP97" s="154"/>
      <c r="AQ97" s="154"/>
      <c r="AR97" s="154"/>
      <c r="AS97" s="154"/>
      <c r="AT97" s="924"/>
    </row>
    <row r="98" spans="1:46" s="230" customFormat="1">
      <c r="A98" s="925"/>
      <c r="B98" s="530"/>
      <c r="C98" s="530"/>
      <c r="D98" s="530"/>
      <c r="E98" s="530"/>
      <c r="F98" s="530"/>
      <c r="G98" s="530"/>
      <c r="H98" s="530"/>
      <c r="I98" s="530"/>
      <c r="J98" s="85"/>
      <c r="K98" s="85"/>
      <c r="L98" s="85"/>
      <c r="M98" s="85"/>
      <c r="N98" s="85"/>
      <c r="O98" s="85"/>
      <c r="P98" s="85"/>
      <c r="Q98" s="85"/>
      <c r="R98" s="85"/>
      <c r="S98" s="85"/>
      <c r="T98" s="154"/>
      <c r="U98" s="154"/>
      <c r="V98" s="154"/>
      <c r="W98" s="154"/>
      <c r="X98" s="154"/>
      <c r="Y98" s="154"/>
      <c r="Z98" s="154"/>
      <c r="AA98" s="154"/>
      <c r="AB98" s="154"/>
      <c r="AC98" s="154"/>
      <c r="AD98" s="154"/>
      <c r="AE98" s="154"/>
      <c r="AF98" s="154"/>
      <c r="AG98" s="154"/>
      <c r="AH98" s="154"/>
      <c r="AI98" s="154"/>
      <c r="AJ98" s="154"/>
      <c r="AK98" s="154"/>
      <c r="AL98" s="154"/>
      <c r="AM98" s="154"/>
      <c r="AN98" s="154"/>
      <c r="AO98" s="154"/>
      <c r="AP98" s="154"/>
      <c r="AQ98" s="154"/>
      <c r="AR98" s="154"/>
      <c r="AS98" s="154"/>
      <c r="AT98" s="924"/>
    </row>
    <row r="99" spans="1:46" s="89" customFormat="1">
      <c r="A99" s="128"/>
      <c r="B99" s="418"/>
      <c r="C99" s="418"/>
      <c r="D99" s="112"/>
      <c r="E99" s="714"/>
      <c r="F99" s="418"/>
      <c r="G99" s="418"/>
      <c r="H99" s="418"/>
      <c r="I99" s="716"/>
      <c r="J99" s="108"/>
      <c r="K99" s="108"/>
      <c r="L99" s="108"/>
      <c r="M99" s="108"/>
      <c r="N99" s="108"/>
      <c r="O99" s="108"/>
      <c r="P99" s="108"/>
      <c r="Q99" s="108"/>
      <c r="R99" s="108"/>
      <c r="S99" s="108"/>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221"/>
    </row>
    <row r="100" spans="1:46" s="89" customFormat="1">
      <c r="A100" s="128"/>
      <c r="B100" s="418"/>
      <c r="C100" s="418"/>
      <c r="D100" s="112"/>
      <c r="E100" s="714"/>
      <c r="F100" s="418"/>
      <c r="G100" s="418"/>
      <c r="H100" s="418"/>
      <c r="I100" s="716"/>
      <c r="J100" s="108"/>
      <c r="K100" s="108"/>
      <c r="L100" s="108"/>
      <c r="M100" s="108"/>
      <c r="N100" s="108"/>
      <c r="O100" s="108"/>
      <c r="P100" s="108"/>
      <c r="Q100" s="108"/>
      <c r="R100" s="108"/>
      <c r="S100" s="108"/>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221"/>
    </row>
    <row r="101" spans="1:46" s="89" customFormat="1">
      <c r="A101" s="128"/>
      <c r="B101" s="418"/>
      <c r="C101" s="418"/>
      <c r="D101" s="112"/>
      <c r="E101" s="714"/>
      <c r="F101" s="418"/>
      <c r="G101" s="418"/>
      <c r="H101" s="418"/>
      <c r="I101" s="716"/>
      <c r="J101" s="108"/>
      <c r="K101" s="108"/>
      <c r="L101" s="108"/>
      <c r="M101" s="108"/>
      <c r="N101" s="108"/>
      <c r="O101" s="108"/>
      <c r="P101" s="108"/>
      <c r="Q101" s="108"/>
      <c r="R101" s="108"/>
      <c r="S101" s="108"/>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221"/>
    </row>
    <row r="102" spans="1:46" s="89" customFormat="1">
      <c r="A102" s="128"/>
      <c r="B102" s="418"/>
      <c r="C102" s="418"/>
      <c r="D102" s="112"/>
      <c r="E102" s="714"/>
      <c r="F102" s="418"/>
      <c r="G102" s="418"/>
      <c r="H102" s="418"/>
      <c r="I102" s="716"/>
      <c r="J102" s="108"/>
      <c r="K102" s="108"/>
      <c r="L102" s="108"/>
      <c r="M102" s="108"/>
      <c r="N102" s="108"/>
      <c r="O102" s="108"/>
      <c r="P102" s="108"/>
      <c r="Q102" s="108"/>
      <c r="R102" s="108"/>
      <c r="S102" s="108"/>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221"/>
    </row>
    <row r="103" spans="1:46" s="89" customFormat="1">
      <c r="A103" s="128"/>
      <c r="B103" s="102"/>
      <c r="C103" s="102"/>
      <c r="D103" s="102"/>
      <c r="E103" s="102"/>
      <c r="F103" s="102"/>
      <c r="G103" s="102"/>
      <c r="H103" s="102"/>
      <c r="I103" s="102"/>
      <c r="J103" s="108"/>
      <c r="K103" s="76" t="s">
        <v>513</v>
      </c>
      <c r="L103" s="108"/>
      <c r="M103" s="108"/>
      <c r="N103" s="108"/>
      <c r="O103" s="108"/>
      <c r="P103" s="108"/>
      <c r="Q103" s="108"/>
      <c r="R103" s="108"/>
      <c r="S103" s="108"/>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221"/>
    </row>
    <row r="104" spans="1:46" s="230" customFormat="1">
      <c r="A104" s="926"/>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4"/>
      <c r="AO104" s="154"/>
      <c r="AP104" s="154"/>
      <c r="AQ104" s="154"/>
      <c r="AR104" s="154"/>
      <c r="AS104" s="154"/>
      <c r="AT104" s="924"/>
    </row>
    <row r="105" spans="1:46" s="230" customFormat="1">
      <c r="A105" s="925"/>
      <c r="B105" s="530"/>
      <c r="C105" s="530"/>
      <c r="D105" s="530"/>
      <c r="E105" s="530"/>
      <c r="F105" s="530"/>
      <c r="G105" s="530"/>
      <c r="H105" s="530"/>
      <c r="I105" s="530"/>
      <c r="J105" s="85"/>
      <c r="K105" s="85"/>
      <c r="L105" s="85"/>
      <c r="M105" s="85"/>
      <c r="N105" s="85"/>
      <c r="O105" s="85"/>
      <c r="P105" s="85"/>
      <c r="Q105" s="85"/>
      <c r="R105" s="85"/>
      <c r="S105" s="85"/>
      <c r="T105" s="154"/>
      <c r="U105" s="154"/>
      <c r="V105" s="154"/>
      <c r="W105" s="154"/>
      <c r="X105" s="154"/>
      <c r="Y105" s="154"/>
      <c r="Z105" s="154"/>
      <c r="AA105" s="154"/>
      <c r="AB105" s="154"/>
      <c r="AC105" s="154"/>
      <c r="AD105" s="154"/>
      <c r="AE105" s="154"/>
      <c r="AF105" s="154"/>
      <c r="AG105" s="154"/>
      <c r="AH105" s="154"/>
      <c r="AI105" s="154"/>
      <c r="AJ105" s="154"/>
      <c r="AK105" s="154"/>
      <c r="AL105" s="154"/>
      <c r="AM105" s="154"/>
      <c r="AN105" s="154"/>
      <c r="AO105" s="154"/>
      <c r="AP105" s="154"/>
      <c r="AQ105" s="154"/>
      <c r="AR105" s="154"/>
      <c r="AS105" s="154"/>
      <c r="AT105" s="924"/>
    </row>
    <row r="106" spans="1:46" s="89" customFormat="1">
      <c r="A106" s="128"/>
      <c r="B106" s="418"/>
      <c r="C106" s="418"/>
      <c r="D106" s="112"/>
      <c r="E106" s="714"/>
      <c r="F106" s="418"/>
      <c r="G106" s="418"/>
      <c r="H106" s="418"/>
      <c r="I106" s="716"/>
      <c r="J106" s="108"/>
      <c r="K106" s="108"/>
      <c r="L106" s="108"/>
      <c r="M106" s="108"/>
      <c r="N106" s="108"/>
      <c r="O106" s="108"/>
      <c r="P106" s="108"/>
      <c r="Q106" s="108"/>
      <c r="R106" s="108"/>
      <c r="S106" s="108"/>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221"/>
    </row>
    <row r="107" spans="1:46" s="89" customFormat="1">
      <c r="A107" s="128"/>
      <c r="B107" s="418"/>
      <c r="C107" s="418"/>
      <c r="D107" s="112"/>
      <c r="E107" s="714"/>
      <c r="F107" s="418"/>
      <c r="G107" s="418"/>
      <c r="H107" s="418"/>
      <c r="I107" s="716"/>
      <c r="J107" s="108"/>
      <c r="K107" s="108"/>
      <c r="L107" s="108"/>
      <c r="M107" s="108"/>
      <c r="N107" s="108"/>
      <c r="O107" s="108"/>
      <c r="P107" s="108"/>
      <c r="Q107" s="108"/>
      <c r="R107" s="108"/>
      <c r="S107" s="108"/>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221"/>
    </row>
    <row r="108" spans="1:46" s="89" customFormat="1">
      <c r="A108" s="128"/>
      <c r="B108" s="418"/>
      <c r="C108" s="418"/>
      <c r="D108" s="112"/>
      <c r="E108" s="714"/>
      <c r="F108" s="418"/>
      <c r="G108" s="418"/>
      <c r="H108" s="418"/>
      <c r="I108" s="716"/>
      <c r="J108" s="108"/>
      <c r="K108" s="108"/>
      <c r="L108" s="108"/>
      <c r="M108" s="108"/>
      <c r="N108" s="108"/>
      <c r="O108" s="108"/>
      <c r="P108" s="108"/>
      <c r="Q108" s="108"/>
      <c r="R108" s="108"/>
      <c r="S108" s="108"/>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221"/>
    </row>
    <row r="109" spans="1:46" s="89" customFormat="1">
      <c r="A109" s="128"/>
      <c r="B109" s="418"/>
      <c r="C109" s="418"/>
      <c r="D109" s="112"/>
      <c r="E109" s="714"/>
      <c r="F109" s="418"/>
      <c r="G109" s="418"/>
      <c r="H109" s="418"/>
      <c r="I109" s="716"/>
      <c r="J109" s="108"/>
      <c r="K109" s="108"/>
      <c r="L109" s="108"/>
      <c r="M109" s="108"/>
      <c r="N109" s="108"/>
      <c r="O109" s="108"/>
      <c r="P109" s="108"/>
      <c r="Q109" s="108"/>
      <c r="R109" s="108"/>
      <c r="S109" s="108"/>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221"/>
    </row>
    <row r="110" spans="1:46" s="89" customFormat="1">
      <c r="A110" s="128"/>
      <c r="B110" s="102"/>
      <c r="C110" s="102"/>
      <c r="D110" s="102"/>
      <c r="E110" s="717"/>
      <c r="F110" s="102"/>
      <c r="G110" s="102"/>
      <c r="H110" s="102"/>
      <c r="I110" s="102"/>
      <c r="J110" s="108"/>
      <c r="K110" s="76" t="s">
        <v>513</v>
      </c>
      <c r="L110" s="108"/>
      <c r="M110" s="108"/>
      <c r="N110" s="108"/>
      <c r="O110" s="108"/>
      <c r="P110" s="108"/>
      <c r="Q110" s="108"/>
      <c r="R110" s="108"/>
      <c r="S110" s="108"/>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221"/>
    </row>
    <row r="111" spans="1:46" s="230" customFormat="1">
      <c r="A111" s="926"/>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c r="AA111" s="154"/>
      <c r="AB111" s="154"/>
      <c r="AC111" s="154"/>
      <c r="AD111" s="154"/>
      <c r="AE111" s="154"/>
      <c r="AF111" s="154"/>
      <c r="AG111" s="154"/>
      <c r="AH111" s="154"/>
      <c r="AI111" s="154"/>
      <c r="AJ111" s="154"/>
      <c r="AK111" s="154"/>
      <c r="AL111" s="154"/>
      <c r="AM111" s="154"/>
      <c r="AN111" s="154"/>
      <c r="AO111" s="154"/>
      <c r="AP111" s="154"/>
      <c r="AQ111" s="154"/>
      <c r="AR111" s="154"/>
      <c r="AS111" s="154"/>
      <c r="AT111" s="924"/>
    </row>
    <row r="112" spans="1:46" s="230" customFormat="1">
      <c r="A112" s="925"/>
      <c r="B112" s="530"/>
      <c r="C112" s="530"/>
      <c r="D112" s="530"/>
      <c r="E112" s="530"/>
      <c r="F112" s="530"/>
      <c r="G112" s="530"/>
      <c r="H112" s="530"/>
      <c r="I112" s="530"/>
      <c r="J112" s="85"/>
      <c r="K112" s="85"/>
      <c r="L112" s="85"/>
      <c r="M112" s="85"/>
      <c r="N112" s="85"/>
      <c r="O112" s="85"/>
      <c r="P112" s="85"/>
      <c r="Q112" s="85"/>
      <c r="R112" s="85"/>
      <c r="S112" s="85"/>
      <c r="T112" s="154"/>
      <c r="U112" s="154"/>
      <c r="V112" s="154"/>
      <c r="W112" s="154"/>
      <c r="X112" s="154"/>
      <c r="Y112" s="154"/>
      <c r="Z112" s="154"/>
      <c r="AA112" s="154"/>
      <c r="AB112" s="154"/>
      <c r="AC112" s="154"/>
      <c r="AD112" s="154"/>
      <c r="AE112" s="154"/>
      <c r="AF112" s="154"/>
      <c r="AG112" s="154"/>
      <c r="AH112" s="154"/>
      <c r="AI112" s="154"/>
      <c r="AJ112" s="154"/>
      <c r="AK112" s="154"/>
      <c r="AL112" s="154"/>
      <c r="AM112" s="154"/>
      <c r="AN112" s="154"/>
      <c r="AO112" s="154"/>
      <c r="AP112" s="154"/>
      <c r="AQ112" s="154"/>
      <c r="AR112" s="154"/>
      <c r="AS112" s="154"/>
      <c r="AT112" s="924"/>
    </row>
    <row r="113" spans="1:46" s="89" customFormat="1">
      <c r="A113" s="128"/>
      <c r="B113" s="418"/>
      <c r="C113" s="418"/>
      <c r="D113" s="112"/>
      <c r="E113" s="714"/>
      <c r="F113" s="418"/>
      <c r="G113" s="418"/>
      <c r="H113" s="418"/>
      <c r="I113" s="716"/>
      <c r="J113" s="108"/>
      <c r="K113" s="108"/>
      <c r="L113" s="108"/>
      <c r="M113" s="108"/>
      <c r="N113" s="108"/>
      <c r="O113" s="108"/>
      <c r="P113" s="108"/>
      <c r="Q113" s="108"/>
      <c r="R113" s="108"/>
      <c r="S113" s="108"/>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221"/>
    </row>
    <row r="114" spans="1:46" s="89" customFormat="1">
      <c r="A114" s="128"/>
      <c r="B114" s="418"/>
      <c r="C114" s="418"/>
      <c r="D114" s="112"/>
      <c r="E114" s="714"/>
      <c r="F114" s="418"/>
      <c r="G114" s="418"/>
      <c r="H114" s="418"/>
      <c r="I114" s="716"/>
      <c r="J114" s="108"/>
      <c r="K114" s="108"/>
      <c r="L114" s="108"/>
      <c r="M114" s="108"/>
      <c r="N114" s="108"/>
      <c r="O114" s="108"/>
      <c r="P114" s="108"/>
      <c r="Q114" s="108"/>
      <c r="R114" s="108"/>
      <c r="S114" s="108"/>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221"/>
    </row>
    <row r="115" spans="1:46" s="89" customFormat="1">
      <c r="A115" s="128"/>
      <c r="B115" s="418"/>
      <c r="C115" s="418"/>
      <c r="D115" s="112"/>
      <c r="E115" s="714"/>
      <c r="F115" s="418"/>
      <c r="G115" s="418"/>
      <c r="H115" s="418"/>
      <c r="I115" s="716"/>
      <c r="J115" s="108"/>
      <c r="K115" s="108"/>
      <c r="L115" s="108"/>
      <c r="M115" s="108"/>
      <c r="N115" s="108"/>
      <c r="O115" s="108"/>
      <c r="P115" s="108"/>
      <c r="Q115" s="108"/>
      <c r="R115" s="108"/>
      <c r="S115" s="108"/>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221"/>
    </row>
    <row r="116" spans="1:46" s="89" customFormat="1">
      <c r="A116" s="128"/>
      <c r="B116" s="418"/>
      <c r="C116" s="418"/>
      <c r="D116" s="112"/>
      <c r="E116" s="714"/>
      <c r="F116" s="418"/>
      <c r="G116" s="418"/>
      <c r="H116" s="418"/>
      <c r="I116" s="716"/>
      <c r="J116" s="108"/>
      <c r="K116" s="108"/>
      <c r="L116" s="108"/>
      <c r="M116" s="108"/>
      <c r="N116" s="108"/>
      <c r="O116" s="108"/>
      <c r="P116" s="108"/>
      <c r="Q116" s="108"/>
      <c r="R116" s="108"/>
      <c r="S116" s="108"/>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221"/>
    </row>
    <row r="117" spans="1:46" s="89" customFormat="1">
      <c r="A117" s="128"/>
      <c r="B117" s="102"/>
      <c r="C117" s="102"/>
      <c r="D117" s="102"/>
      <c r="E117" s="102"/>
      <c r="F117" s="102"/>
      <c r="G117" s="102"/>
      <c r="H117" s="102"/>
      <c r="I117" s="102"/>
      <c r="J117" s="108"/>
      <c r="K117" s="76" t="s">
        <v>513</v>
      </c>
      <c r="L117" s="108"/>
      <c r="M117" s="108"/>
      <c r="N117" s="108"/>
      <c r="O117" s="108"/>
      <c r="P117" s="108"/>
      <c r="Q117" s="108"/>
      <c r="R117" s="108"/>
      <c r="S117" s="108"/>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221"/>
    </row>
    <row r="118" spans="1:46" s="230" customFormat="1">
      <c r="A118" s="926"/>
      <c r="B118" s="154"/>
      <c r="C118" s="154"/>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c r="AA118" s="154"/>
      <c r="AB118" s="154"/>
      <c r="AC118" s="154"/>
      <c r="AD118" s="154"/>
      <c r="AE118" s="154"/>
      <c r="AF118" s="154"/>
      <c r="AG118" s="154"/>
      <c r="AH118" s="154"/>
      <c r="AI118" s="154"/>
      <c r="AJ118" s="154"/>
      <c r="AK118" s="154"/>
      <c r="AL118" s="154"/>
      <c r="AM118" s="154"/>
      <c r="AN118" s="154"/>
      <c r="AO118" s="154"/>
      <c r="AP118" s="154"/>
      <c r="AQ118" s="154"/>
      <c r="AR118" s="154"/>
      <c r="AS118" s="154"/>
      <c r="AT118" s="924"/>
    </row>
    <row r="119" spans="1:46" s="230" customFormat="1">
      <c r="A119" s="925"/>
      <c r="B119" s="530"/>
      <c r="C119" s="530"/>
      <c r="D119" s="530"/>
      <c r="E119" s="530"/>
      <c r="F119" s="530"/>
      <c r="G119" s="530"/>
      <c r="H119" s="530"/>
      <c r="I119" s="530"/>
      <c r="J119" s="85"/>
      <c r="K119" s="85"/>
      <c r="L119" s="85"/>
      <c r="M119" s="85"/>
      <c r="N119" s="85"/>
      <c r="O119" s="85"/>
      <c r="P119" s="85"/>
      <c r="Q119" s="85"/>
      <c r="R119" s="85"/>
      <c r="S119" s="85"/>
      <c r="T119" s="154"/>
      <c r="U119" s="154"/>
      <c r="V119" s="154"/>
      <c r="W119" s="154"/>
      <c r="X119" s="154"/>
      <c r="Y119" s="154"/>
      <c r="Z119" s="154"/>
      <c r="AA119" s="154"/>
      <c r="AB119" s="154"/>
      <c r="AC119" s="154"/>
      <c r="AD119" s="154"/>
      <c r="AE119" s="154"/>
      <c r="AF119" s="154"/>
      <c r="AG119" s="154"/>
      <c r="AH119" s="154"/>
      <c r="AI119" s="154"/>
      <c r="AJ119" s="154"/>
      <c r="AK119" s="154"/>
      <c r="AL119" s="154"/>
      <c r="AM119" s="154"/>
      <c r="AN119" s="154"/>
      <c r="AO119" s="154"/>
      <c r="AP119" s="154"/>
      <c r="AQ119" s="154"/>
      <c r="AR119" s="154"/>
      <c r="AS119" s="154"/>
      <c r="AT119" s="924"/>
    </row>
    <row r="120" spans="1:46" s="89" customFormat="1">
      <c r="A120" s="128"/>
      <c r="B120" s="418"/>
      <c r="C120" s="418"/>
      <c r="D120" s="112"/>
      <c r="E120" s="714"/>
      <c r="F120" s="418"/>
      <c r="G120" s="418"/>
      <c r="H120" s="418"/>
      <c r="I120" s="716"/>
      <c r="J120" s="108"/>
      <c r="K120" s="108"/>
      <c r="L120" s="108"/>
      <c r="M120" s="108"/>
      <c r="N120" s="108"/>
      <c r="O120" s="108"/>
      <c r="P120" s="108"/>
      <c r="Q120" s="108"/>
      <c r="R120" s="108"/>
      <c r="S120" s="108"/>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221"/>
    </row>
    <row r="121" spans="1:46" s="89" customFormat="1">
      <c r="A121" s="128"/>
      <c r="B121" s="418"/>
      <c r="C121" s="418"/>
      <c r="D121" s="112"/>
      <c r="E121" s="714"/>
      <c r="F121" s="418"/>
      <c r="G121" s="418"/>
      <c r="H121" s="418"/>
      <c r="I121" s="716"/>
      <c r="J121" s="108"/>
      <c r="K121" s="108"/>
      <c r="L121" s="108"/>
      <c r="M121" s="108"/>
      <c r="N121" s="108"/>
      <c r="O121" s="108"/>
      <c r="P121" s="108"/>
      <c r="Q121" s="108"/>
      <c r="R121" s="108"/>
      <c r="S121" s="108"/>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221"/>
    </row>
    <row r="122" spans="1:46" s="89" customFormat="1">
      <c r="A122" s="128"/>
      <c r="B122" s="418"/>
      <c r="C122" s="418"/>
      <c r="D122" s="112"/>
      <c r="E122" s="714"/>
      <c r="F122" s="418"/>
      <c r="G122" s="418"/>
      <c r="H122" s="418"/>
      <c r="I122" s="716"/>
      <c r="J122" s="108"/>
      <c r="K122" s="108"/>
      <c r="L122" s="108"/>
      <c r="M122" s="108"/>
      <c r="N122" s="108"/>
      <c r="O122" s="108"/>
      <c r="P122" s="108"/>
      <c r="Q122" s="108"/>
      <c r="R122" s="108"/>
      <c r="S122" s="108"/>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221"/>
    </row>
    <row r="123" spans="1:46" s="89" customFormat="1">
      <c r="A123" s="128"/>
      <c r="B123" s="418"/>
      <c r="C123" s="418"/>
      <c r="D123" s="112"/>
      <c r="E123" s="714"/>
      <c r="F123" s="418"/>
      <c r="G123" s="418"/>
      <c r="H123" s="418"/>
      <c r="I123" s="716"/>
      <c r="J123" s="108"/>
      <c r="K123" s="108"/>
      <c r="L123" s="108"/>
      <c r="M123" s="108"/>
      <c r="N123" s="108"/>
      <c r="O123" s="108"/>
      <c r="P123" s="108"/>
      <c r="Q123" s="108"/>
      <c r="R123" s="108"/>
      <c r="S123" s="108"/>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221"/>
    </row>
    <row r="124" spans="1:46" s="89" customFormat="1">
      <c r="A124" s="128"/>
      <c r="B124" s="418"/>
      <c r="C124" s="418"/>
      <c r="D124" s="112"/>
      <c r="E124" s="714"/>
      <c r="F124" s="418"/>
      <c r="G124" s="418"/>
      <c r="H124" s="418"/>
      <c r="I124" s="715"/>
      <c r="J124" s="108"/>
      <c r="K124" s="108"/>
      <c r="L124" s="108"/>
      <c r="M124" s="108"/>
      <c r="N124" s="108"/>
      <c r="O124" s="108"/>
      <c r="P124" s="108"/>
      <c r="Q124" s="108"/>
      <c r="R124" s="108"/>
      <c r="S124" s="108"/>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221"/>
    </row>
    <row r="125" spans="1:46">
      <c r="A125" s="926"/>
      <c r="B125" s="154"/>
      <c r="C125" s="154"/>
      <c r="D125" s="154"/>
      <c r="E125" s="154"/>
      <c r="F125" s="154"/>
      <c r="G125" s="154"/>
      <c r="H125" s="154"/>
      <c r="I125" s="154"/>
      <c r="J125" s="22"/>
      <c r="K125" s="76"/>
      <c r="L125" s="22"/>
      <c r="M125" s="22"/>
      <c r="N125" s="22"/>
      <c r="O125" s="22"/>
      <c r="P125" s="22"/>
      <c r="Q125" s="22"/>
      <c r="R125" s="22"/>
      <c r="S125" s="22"/>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927"/>
    </row>
    <row r="126" spans="1:46" s="89" customFormat="1">
      <c r="A126" s="925"/>
      <c r="B126" s="530"/>
      <c r="C126" s="530"/>
      <c r="D126" s="530"/>
      <c r="E126" s="530"/>
      <c r="F126" s="530"/>
      <c r="G126" s="530"/>
      <c r="H126" s="530"/>
      <c r="I126" s="530"/>
      <c r="J126" s="108"/>
      <c r="K126" s="76" t="s">
        <v>513</v>
      </c>
      <c r="L126" s="108"/>
      <c r="M126" s="108"/>
      <c r="N126" s="108"/>
      <c r="O126" s="108"/>
      <c r="P126" s="108"/>
      <c r="Q126" s="108"/>
      <c r="R126" s="108"/>
      <c r="S126" s="108"/>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221"/>
    </row>
    <row r="127" spans="1:46" s="89" customFormat="1">
      <c r="A127" s="128"/>
      <c r="B127" s="418"/>
      <c r="C127" s="418"/>
      <c r="D127" s="112"/>
      <c r="E127" s="714"/>
      <c r="F127" s="418"/>
      <c r="G127" s="418"/>
      <c r="H127" s="418"/>
      <c r="I127" s="716"/>
      <c r="J127" s="108"/>
      <c r="K127" s="76"/>
      <c r="L127" s="108"/>
      <c r="M127" s="108"/>
      <c r="N127" s="108"/>
      <c r="O127" s="108"/>
      <c r="P127" s="108"/>
      <c r="Q127" s="108"/>
      <c r="R127" s="108"/>
      <c r="S127" s="108"/>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221"/>
    </row>
    <row r="128" spans="1:46" s="89" customFormat="1">
      <c r="A128" s="128"/>
      <c r="B128" s="418"/>
      <c r="C128" s="418"/>
      <c r="D128" s="112"/>
      <c r="E128" s="714"/>
      <c r="F128" s="418"/>
      <c r="G128" s="418"/>
      <c r="H128" s="418"/>
      <c r="I128" s="716"/>
      <c r="J128" s="108"/>
      <c r="K128" s="76"/>
      <c r="L128" s="108"/>
      <c r="M128" s="108"/>
      <c r="N128" s="108"/>
      <c r="O128" s="108"/>
      <c r="P128" s="108"/>
      <c r="Q128" s="108"/>
      <c r="R128" s="108"/>
      <c r="S128" s="108"/>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221"/>
    </row>
    <row r="129" spans="1:46" s="89" customFormat="1">
      <c r="A129" s="128"/>
      <c r="B129" s="418"/>
      <c r="C129" s="418"/>
      <c r="D129" s="112"/>
      <c r="E129" s="714"/>
      <c r="F129" s="418"/>
      <c r="G129" s="418"/>
      <c r="H129" s="418"/>
      <c r="I129" s="716"/>
      <c r="J129" s="108"/>
      <c r="K129" s="76"/>
      <c r="L129" s="108"/>
      <c r="M129" s="108"/>
      <c r="N129" s="108"/>
      <c r="O129" s="108"/>
      <c r="P129" s="108"/>
      <c r="Q129" s="108"/>
      <c r="R129" s="108"/>
      <c r="S129" s="108"/>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221"/>
    </row>
    <row r="130" spans="1:46" s="89" customFormat="1">
      <c r="A130" s="128"/>
      <c r="B130" s="418"/>
      <c r="C130" s="418"/>
      <c r="D130" s="112"/>
      <c r="E130" s="714"/>
      <c r="F130" s="418"/>
      <c r="G130" s="418"/>
      <c r="H130" s="418"/>
      <c r="I130" s="716"/>
      <c r="J130" s="108"/>
      <c r="K130" s="76"/>
      <c r="L130" s="108"/>
      <c r="M130" s="108"/>
      <c r="N130" s="108"/>
      <c r="O130" s="108"/>
      <c r="P130" s="108"/>
      <c r="Q130" s="108"/>
      <c r="R130" s="108"/>
      <c r="S130" s="108"/>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221"/>
    </row>
    <row r="131" spans="1:46" s="89" customFormat="1">
      <c r="A131" s="128"/>
      <c r="B131" s="102"/>
      <c r="C131" s="102"/>
      <c r="D131" s="102"/>
      <c r="E131" s="102"/>
      <c r="F131" s="102"/>
      <c r="G131" s="102"/>
      <c r="H131" s="102"/>
      <c r="I131" s="102"/>
      <c r="J131" s="108"/>
      <c r="K131" s="76"/>
      <c r="L131" s="108"/>
      <c r="M131" s="108"/>
      <c r="N131" s="108"/>
      <c r="O131" s="108"/>
      <c r="P131" s="108"/>
      <c r="Q131" s="108"/>
      <c r="R131" s="108"/>
      <c r="S131" s="108"/>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221"/>
    </row>
    <row r="132" spans="1:46" s="89" customFormat="1">
      <c r="A132" s="926"/>
      <c r="B132" s="154"/>
      <c r="C132" s="154"/>
      <c r="D132" s="154"/>
      <c r="E132" s="154"/>
      <c r="F132" s="154"/>
      <c r="G132" s="154"/>
      <c r="H132" s="154"/>
      <c r="I132" s="154"/>
      <c r="J132" s="108"/>
      <c r="K132" s="76"/>
      <c r="L132" s="108"/>
      <c r="M132" s="108"/>
      <c r="N132" s="108"/>
      <c r="O132" s="108"/>
      <c r="P132" s="108"/>
      <c r="Q132" s="108"/>
      <c r="R132" s="108"/>
      <c r="S132" s="108"/>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221"/>
    </row>
    <row r="133" spans="1:46" s="89" customFormat="1">
      <c r="A133" s="925"/>
      <c r="B133" s="530"/>
      <c r="C133" s="530"/>
      <c r="D133" s="530"/>
      <c r="E133" s="530"/>
      <c r="F133" s="530"/>
      <c r="G133" s="530"/>
      <c r="H133" s="530"/>
      <c r="I133" s="530"/>
      <c r="J133" s="108"/>
      <c r="K133" s="76"/>
      <c r="L133" s="108"/>
      <c r="M133" s="108"/>
      <c r="N133" s="108"/>
      <c r="O133" s="108"/>
      <c r="P133" s="108"/>
      <c r="Q133" s="108"/>
      <c r="R133" s="108"/>
      <c r="S133" s="108"/>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221"/>
    </row>
    <row r="134" spans="1:46" s="89" customFormat="1">
      <c r="A134" s="128"/>
      <c r="B134" s="418"/>
      <c r="C134" s="418"/>
      <c r="D134" s="112"/>
      <c r="E134" s="714"/>
      <c r="F134" s="418"/>
      <c r="G134" s="418"/>
      <c r="H134" s="418"/>
      <c r="I134" s="716"/>
      <c r="J134" s="108"/>
      <c r="K134" s="76"/>
      <c r="L134" s="108"/>
      <c r="M134" s="108"/>
      <c r="N134" s="108"/>
      <c r="O134" s="108"/>
      <c r="P134" s="108"/>
      <c r="Q134" s="108"/>
      <c r="R134" s="108"/>
      <c r="S134" s="108"/>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221"/>
    </row>
    <row r="135" spans="1:46" s="89" customFormat="1">
      <c r="A135" s="128"/>
      <c r="B135" s="418"/>
      <c r="C135" s="418"/>
      <c r="D135" s="112"/>
      <c r="E135" s="714"/>
      <c r="F135" s="418"/>
      <c r="G135" s="418"/>
      <c r="H135" s="418"/>
      <c r="I135" s="716"/>
      <c r="J135" s="108"/>
      <c r="K135" s="76"/>
      <c r="L135" s="108"/>
      <c r="M135" s="108"/>
      <c r="N135" s="108"/>
      <c r="O135" s="108"/>
      <c r="P135" s="108"/>
      <c r="Q135" s="108"/>
      <c r="R135" s="108"/>
      <c r="S135" s="108"/>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221"/>
    </row>
    <row r="136" spans="1:46" s="89" customFormat="1">
      <c r="A136" s="128"/>
      <c r="B136" s="418"/>
      <c r="C136" s="418"/>
      <c r="D136" s="112"/>
      <c r="E136" s="714"/>
      <c r="F136" s="418"/>
      <c r="G136" s="418"/>
      <c r="H136" s="418"/>
      <c r="I136" s="716"/>
      <c r="J136" s="108"/>
      <c r="K136" s="76"/>
      <c r="L136" s="108"/>
      <c r="M136" s="108"/>
      <c r="N136" s="108"/>
      <c r="O136" s="108"/>
      <c r="P136" s="108"/>
      <c r="Q136" s="108"/>
      <c r="R136" s="108"/>
      <c r="S136" s="108"/>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221"/>
    </row>
    <row r="137" spans="1:46" s="89" customFormat="1">
      <c r="A137" s="128"/>
      <c r="B137" s="418"/>
      <c r="C137" s="418"/>
      <c r="D137" s="112"/>
      <c r="E137" s="714"/>
      <c r="F137" s="418"/>
      <c r="G137" s="418"/>
      <c r="H137" s="418"/>
      <c r="I137" s="716"/>
      <c r="J137" s="108"/>
      <c r="K137" s="76"/>
      <c r="L137" s="108"/>
      <c r="M137" s="108"/>
      <c r="N137" s="108"/>
      <c r="O137" s="108"/>
      <c r="P137" s="108"/>
      <c r="Q137" s="108"/>
      <c r="R137" s="108"/>
      <c r="S137" s="108"/>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221"/>
    </row>
    <row r="138" spans="1:46" s="89" customFormat="1">
      <c r="A138" s="128"/>
      <c r="B138" s="102"/>
      <c r="C138" s="102"/>
      <c r="D138" s="102"/>
      <c r="E138" s="102"/>
      <c r="F138" s="102"/>
      <c r="G138" s="102"/>
      <c r="H138" s="102"/>
      <c r="I138" s="102"/>
      <c r="J138" s="108"/>
      <c r="K138" s="76"/>
      <c r="L138" s="108"/>
      <c r="M138" s="108"/>
      <c r="N138" s="108"/>
      <c r="O138" s="108"/>
      <c r="P138" s="108"/>
      <c r="Q138" s="108"/>
      <c r="R138" s="108"/>
      <c r="S138" s="108"/>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221"/>
    </row>
    <row r="139" spans="1:46" s="89" customFormat="1">
      <c r="A139" s="926"/>
      <c r="B139" s="154"/>
      <c r="C139" s="154"/>
      <c r="D139" s="154"/>
      <c r="E139" s="154"/>
      <c r="F139" s="154"/>
      <c r="G139" s="154"/>
      <c r="H139" s="154"/>
      <c r="I139" s="154"/>
      <c r="J139" s="108"/>
      <c r="K139" s="76"/>
      <c r="L139" s="108"/>
      <c r="M139" s="108"/>
      <c r="N139" s="108"/>
      <c r="O139" s="108"/>
      <c r="P139" s="108"/>
      <c r="Q139" s="108"/>
      <c r="R139" s="108"/>
      <c r="S139" s="108"/>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221"/>
    </row>
    <row r="140" spans="1:46" s="89" customFormat="1">
      <c r="A140" s="925"/>
      <c r="B140" s="530"/>
      <c r="C140" s="530"/>
      <c r="D140" s="530"/>
      <c r="E140" s="530"/>
      <c r="F140" s="530"/>
      <c r="G140" s="530"/>
      <c r="H140" s="530"/>
      <c r="I140" s="530"/>
      <c r="J140" s="108"/>
      <c r="K140" s="76"/>
      <c r="L140" s="108"/>
      <c r="M140" s="108"/>
      <c r="N140" s="108"/>
      <c r="O140" s="108"/>
      <c r="P140" s="108"/>
      <c r="Q140" s="108"/>
      <c r="R140" s="108"/>
      <c r="S140" s="108"/>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221"/>
    </row>
    <row r="141" spans="1:46" s="89" customFormat="1">
      <c r="A141" s="128"/>
      <c r="B141" s="418"/>
      <c r="C141" s="418"/>
      <c r="D141" s="112"/>
      <c r="E141" s="714"/>
      <c r="F141" s="418"/>
      <c r="G141" s="418"/>
      <c r="H141" s="418"/>
      <c r="I141" s="716"/>
      <c r="J141" s="108"/>
      <c r="K141" s="76"/>
      <c r="L141" s="108"/>
      <c r="M141" s="108"/>
      <c r="N141" s="108"/>
      <c r="O141" s="108"/>
      <c r="P141" s="108"/>
      <c r="Q141" s="108"/>
      <c r="R141" s="108"/>
      <c r="S141" s="108"/>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221"/>
    </row>
    <row r="142" spans="1:46" s="89" customFormat="1">
      <c r="A142" s="128"/>
      <c r="B142" s="418"/>
      <c r="C142" s="418"/>
      <c r="D142" s="112"/>
      <c r="E142" s="714"/>
      <c r="F142" s="418"/>
      <c r="G142" s="418"/>
      <c r="H142" s="418"/>
      <c r="I142" s="716"/>
      <c r="J142" s="108"/>
      <c r="K142" s="76"/>
      <c r="L142" s="108"/>
      <c r="M142" s="108"/>
      <c r="N142" s="108"/>
      <c r="O142" s="108"/>
      <c r="P142" s="108"/>
      <c r="Q142" s="108"/>
      <c r="R142" s="108"/>
      <c r="S142" s="108"/>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221"/>
    </row>
    <row r="143" spans="1:46" s="89" customFormat="1">
      <c r="A143" s="128"/>
      <c r="B143" s="418"/>
      <c r="C143" s="418"/>
      <c r="D143" s="112"/>
      <c r="E143" s="714"/>
      <c r="F143" s="418"/>
      <c r="G143" s="418"/>
      <c r="H143" s="418"/>
      <c r="I143" s="716"/>
      <c r="J143" s="108"/>
      <c r="K143" s="76"/>
      <c r="L143" s="108"/>
      <c r="M143" s="108"/>
      <c r="N143" s="108"/>
      <c r="O143" s="108"/>
      <c r="P143" s="108"/>
      <c r="Q143" s="108"/>
      <c r="R143" s="108"/>
      <c r="S143" s="108"/>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221"/>
    </row>
    <row r="144" spans="1:46" s="89" customFormat="1">
      <c r="A144" s="128"/>
      <c r="B144" s="418"/>
      <c r="C144" s="418"/>
      <c r="D144" s="112"/>
      <c r="E144" s="714"/>
      <c r="F144" s="418"/>
      <c r="G144" s="418"/>
      <c r="H144" s="418"/>
      <c r="I144" s="716"/>
      <c r="J144" s="108"/>
      <c r="K144" s="76"/>
      <c r="L144" s="108"/>
      <c r="M144" s="108"/>
      <c r="N144" s="108"/>
      <c r="O144" s="108"/>
      <c r="P144" s="108"/>
      <c r="Q144" s="108"/>
      <c r="R144" s="108"/>
      <c r="S144" s="108"/>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221"/>
    </row>
    <row r="145" spans="1:46" s="89" customFormat="1">
      <c r="A145" s="128"/>
      <c r="B145" s="102"/>
      <c r="C145" s="102"/>
      <c r="D145" s="102"/>
      <c r="E145" s="102"/>
      <c r="F145" s="102"/>
      <c r="G145" s="102"/>
      <c r="H145" s="102"/>
      <c r="I145" s="102"/>
      <c r="J145" s="108"/>
      <c r="K145" s="76"/>
      <c r="L145" s="108"/>
      <c r="M145" s="108"/>
      <c r="N145" s="108"/>
      <c r="O145" s="108"/>
      <c r="P145" s="108"/>
      <c r="Q145" s="108"/>
      <c r="R145" s="108"/>
      <c r="S145" s="108"/>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221"/>
    </row>
    <row r="146" spans="1:46" s="89" customFormat="1">
      <c r="A146" s="926"/>
      <c r="B146" s="154"/>
      <c r="C146" s="154"/>
      <c r="D146" s="154"/>
      <c r="E146" s="154"/>
      <c r="F146" s="154"/>
      <c r="G146" s="154"/>
      <c r="H146" s="154"/>
      <c r="I146" s="154"/>
      <c r="J146" s="108"/>
      <c r="K146" s="76"/>
      <c r="L146" s="108"/>
      <c r="M146" s="108"/>
      <c r="N146" s="108"/>
      <c r="O146" s="108"/>
      <c r="P146" s="108"/>
      <c r="Q146" s="108"/>
      <c r="R146" s="108"/>
      <c r="S146" s="108"/>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221"/>
    </row>
    <row r="147" spans="1:46" s="89" customFormat="1">
      <c r="A147" s="925"/>
      <c r="B147" s="530"/>
      <c r="C147" s="530"/>
      <c r="D147" s="530"/>
      <c r="E147" s="530"/>
      <c r="F147" s="530"/>
      <c r="G147" s="530"/>
      <c r="H147" s="530"/>
      <c r="I147" s="530"/>
      <c r="J147" s="108"/>
      <c r="K147" s="76"/>
      <c r="L147" s="108"/>
      <c r="M147" s="108"/>
      <c r="N147" s="108"/>
      <c r="O147" s="108"/>
      <c r="P147" s="108"/>
      <c r="Q147" s="108"/>
      <c r="R147" s="108"/>
      <c r="S147" s="108"/>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221"/>
    </row>
    <row r="148" spans="1:46" s="89" customFormat="1">
      <c r="A148" s="128"/>
      <c r="B148" s="418"/>
      <c r="C148" s="418"/>
      <c r="D148" s="112"/>
      <c r="E148" s="714"/>
      <c r="F148" s="418"/>
      <c r="G148" s="418"/>
      <c r="H148" s="418"/>
      <c r="I148" s="716"/>
      <c r="J148" s="108"/>
      <c r="K148" s="76"/>
      <c r="L148" s="108"/>
      <c r="M148" s="108"/>
      <c r="N148" s="108"/>
      <c r="O148" s="108"/>
      <c r="P148" s="108"/>
      <c r="Q148" s="108"/>
      <c r="R148" s="108"/>
      <c r="S148" s="108"/>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221"/>
    </row>
    <row r="149" spans="1:46" s="89" customFormat="1">
      <c r="A149" s="128"/>
      <c r="B149" s="418"/>
      <c r="C149" s="418"/>
      <c r="D149" s="112"/>
      <c r="E149" s="714"/>
      <c r="F149" s="418"/>
      <c r="G149" s="418"/>
      <c r="H149" s="418"/>
      <c r="I149" s="716"/>
      <c r="J149" s="108"/>
      <c r="K149" s="76"/>
      <c r="L149" s="108"/>
      <c r="M149" s="108"/>
      <c r="N149" s="108"/>
      <c r="O149" s="108"/>
      <c r="P149" s="108"/>
      <c r="Q149" s="108"/>
      <c r="R149" s="108"/>
      <c r="S149" s="108"/>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221"/>
    </row>
    <row r="150" spans="1:46" s="89" customFormat="1">
      <c r="A150" s="128"/>
      <c r="B150" s="418"/>
      <c r="C150" s="418"/>
      <c r="D150" s="112"/>
      <c r="E150" s="714"/>
      <c r="F150" s="418"/>
      <c r="G150" s="418"/>
      <c r="H150" s="418"/>
      <c r="I150" s="716"/>
      <c r="J150" s="108"/>
      <c r="K150" s="76"/>
      <c r="L150" s="108"/>
      <c r="M150" s="108"/>
      <c r="N150" s="108"/>
      <c r="O150" s="108"/>
      <c r="P150" s="108"/>
      <c r="Q150" s="108"/>
      <c r="R150" s="108"/>
      <c r="S150" s="108"/>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221"/>
    </row>
    <row r="151" spans="1:46" s="89" customFormat="1">
      <c r="A151" s="128"/>
      <c r="B151" s="418"/>
      <c r="C151" s="418"/>
      <c r="D151" s="112"/>
      <c r="E151" s="714"/>
      <c r="F151" s="418"/>
      <c r="G151" s="418"/>
      <c r="H151" s="418"/>
      <c r="I151" s="716"/>
      <c r="J151" s="108"/>
      <c r="K151" s="76"/>
      <c r="L151" s="108"/>
      <c r="M151" s="108"/>
      <c r="N151" s="108"/>
      <c r="O151" s="108"/>
      <c r="P151" s="108"/>
      <c r="Q151" s="108"/>
      <c r="R151" s="108"/>
      <c r="S151" s="108"/>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221"/>
    </row>
    <row r="152" spans="1:46" s="233" customFormat="1">
      <c r="A152" s="128"/>
      <c r="B152" s="418"/>
      <c r="C152" s="418"/>
      <c r="D152" s="112"/>
      <c r="E152" s="714"/>
      <c r="F152" s="418"/>
      <c r="G152" s="418"/>
      <c r="H152" s="418"/>
      <c r="I152" s="716"/>
      <c r="J152" s="228"/>
      <c r="K152" s="81"/>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228"/>
      <c r="AJ152" s="228"/>
      <c r="AK152" s="228"/>
      <c r="AL152" s="228"/>
      <c r="AM152" s="228"/>
      <c r="AN152" s="228"/>
      <c r="AO152" s="228"/>
      <c r="AP152" s="228"/>
      <c r="AQ152" s="228"/>
      <c r="AR152" s="228"/>
      <c r="AS152" s="228"/>
      <c r="AT152" s="268"/>
    </row>
    <row r="153" spans="1:46" s="89" customFormat="1">
      <c r="A153" s="926"/>
      <c r="B153" s="154"/>
      <c r="C153" s="154"/>
      <c r="D153" s="154"/>
      <c r="E153" s="154"/>
      <c r="F153" s="154"/>
      <c r="G153" s="154"/>
      <c r="H153" s="154"/>
      <c r="I153" s="154"/>
      <c r="J153" s="108"/>
      <c r="K153" s="76"/>
      <c r="L153" s="108"/>
      <c r="M153" s="108"/>
      <c r="N153" s="108"/>
      <c r="O153" s="108"/>
      <c r="P153" s="108"/>
      <c r="Q153" s="108"/>
      <c r="R153" s="108"/>
      <c r="S153" s="108"/>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221"/>
    </row>
    <row r="154" spans="1:46" s="89" customFormat="1">
      <c r="A154" s="925"/>
      <c r="B154" s="530"/>
      <c r="C154" s="530"/>
      <c r="D154" s="530"/>
      <c r="E154" s="530"/>
      <c r="F154" s="530"/>
      <c r="G154" s="530"/>
      <c r="H154" s="530"/>
      <c r="I154" s="530"/>
      <c r="J154" s="108"/>
      <c r="K154" s="76"/>
      <c r="L154" s="108"/>
      <c r="M154" s="108"/>
      <c r="N154" s="108"/>
      <c r="O154" s="108"/>
      <c r="P154" s="108"/>
      <c r="Q154" s="108"/>
      <c r="R154" s="108"/>
      <c r="S154" s="108"/>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221"/>
    </row>
    <row r="155" spans="1:46" s="89" customFormat="1">
      <c r="A155" s="128"/>
      <c r="B155" s="418"/>
      <c r="C155" s="418"/>
      <c r="D155" s="112"/>
      <c r="E155" s="714"/>
      <c r="F155" s="418"/>
      <c r="G155" s="418"/>
      <c r="H155" s="418"/>
      <c r="I155" s="716"/>
      <c r="J155" s="102"/>
      <c r="K155" s="7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221"/>
    </row>
    <row r="156" spans="1:46" s="89" customFormat="1">
      <c r="A156" s="128"/>
      <c r="B156" s="418"/>
      <c r="C156" s="418"/>
      <c r="D156" s="112"/>
      <c r="E156" s="714"/>
      <c r="F156" s="418"/>
      <c r="G156" s="418"/>
      <c r="H156" s="418"/>
      <c r="I156" s="716"/>
      <c r="J156" s="108"/>
      <c r="K156" s="76"/>
      <c r="L156" s="108"/>
      <c r="M156" s="108"/>
      <c r="N156" s="108"/>
      <c r="O156" s="108"/>
      <c r="P156" s="108"/>
      <c r="Q156" s="108"/>
      <c r="R156" s="108"/>
      <c r="S156" s="108"/>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221"/>
    </row>
    <row r="157" spans="1:46" s="89" customFormat="1">
      <c r="A157" s="128"/>
      <c r="B157" s="418"/>
      <c r="C157" s="418"/>
      <c r="D157" s="112"/>
      <c r="E157" s="714"/>
      <c r="F157" s="418"/>
      <c r="G157" s="418"/>
      <c r="H157" s="418"/>
      <c r="I157" s="716"/>
      <c r="J157" s="108"/>
      <c r="K157" s="76"/>
      <c r="L157" s="108"/>
      <c r="M157" s="108"/>
      <c r="N157" s="108"/>
      <c r="O157" s="108"/>
      <c r="P157" s="108"/>
      <c r="Q157" s="108"/>
      <c r="R157" s="108"/>
      <c r="S157" s="108"/>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221"/>
    </row>
    <row r="158" spans="1:46" s="89" customFormat="1">
      <c r="A158" s="128"/>
      <c r="B158" s="418"/>
      <c r="C158" s="418"/>
      <c r="D158" s="112"/>
      <c r="E158" s="714"/>
      <c r="F158" s="418"/>
      <c r="G158" s="418"/>
      <c r="H158" s="418"/>
      <c r="I158" s="716"/>
      <c r="J158" s="108"/>
      <c r="K158" s="76"/>
      <c r="L158" s="108"/>
      <c r="M158" s="108"/>
      <c r="N158" s="108"/>
      <c r="O158" s="108"/>
      <c r="P158" s="108"/>
      <c r="Q158" s="108"/>
      <c r="R158" s="108"/>
      <c r="S158" s="108"/>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221"/>
    </row>
    <row r="159" spans="1:46" s="233" customFormat="1">
      <c r="A159" s="292"/>
      <c r="B159" s="613"/>
      <c r="C159" s="508"/>
      <c r="D159" s="437"/>
      <c r="E159" s="509"/>
      <c r="F159" s="508"/>
      <c r="G159" s="508"/>
      <c r="H159" s="508"/>
      <c r="I159" s="510"/>
      <c r="J159" s="228"/>
      <c r="K159" s="81"/>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c r="AG159" s="228"/>
      <c r="AH159" s="228"/>
      <c r="AI159" s="228"/>
      <c r="AJ159" s="228"/>
      <c r="AK159" s="228"/>
      <c r="AL159" s="228"/>
      <c r="AM159" s="228"/>
      <c r="AN159" s="228"/>
      <c r="AO159" s="228"/>
      <c r="AP159" s="228"/>
      <c r="AQ159" s="228"/>
      <c r="AR159" s="228"/>
      <c r="AS159" s="228"/>
      <c r="AT159" s="268"/>
    </row>
    <row r="160" spans="1:46" s="89" customFormat="1">
      <c r="A160" s="128"/>
      <c r="B160" s="102"/>
      <c r="C160" s="102"/>
      <c r="D160" s="102"/>
      <c r="E160" s="102"/>
      <c r="F160" s="102"/>
      <c r="G160" s="102"/>
      <c r="H160" s="102"/>
      <c r="I160" s="102"/>
      <c r="J160" s="102"/>
      <c r="K160" s="102"/>
      <c r="L160" s="102"/>
      <c r="M160" s="108"/>
      <c r="N160" s="108"/>
      <c r="O160" s="108"/>
      <c r="P160" s="108"/>
      <c r="Q160" s="108"/>
      <c r="R160" s="108"/>
      <c r="S160" s="108"/>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221"/>
    </row>
    <row r="161" spans="1:46" s="80" customFormat="1">
      <c r="A161" s="129"/>
      <c r="B161" s="108"/>
      <c r="C161" s="108"/>
      <c r="D161" s="108"/>
      <c r="E161" s="108"/>
      <c r="F161" s="108"/>
      <c r="G161" s="108"/>
      <c r="H161" s="108"/>
      <c r="I161" s="108"/>
      <c r="J161" s="108"/>
      <c r="K161" s="108"/>
      <c r="L161" s="108"/>
      <c r="M161" s="108"/>
      <c r="N161" s="108"/>
      <c r="O161" s="108"/>
      <c r="P161" s="108"/>
      <c r="Q161" s="108"/>
      <c r="R161" s="108"/>
      <c r="S161" s="108"/>
      <c r="T161" s="108"/>
      <c r="U161" s="108"/>
      <c r="V161" s="108"/>
      <c r="W161" s="108"/>
      <c r="X161" s="108"/>
      <c r="Y161" s="108"/>
      <c r="Z161" s="108"/>
      <c r="AA161" s="108"/>
      <c r="AB161" s="108"/>
      <c r="AC161" s="108"/>
      <c r="AD161" s="108"/>
      <c r="AE161" s="108"/>
      <c r="AF161" s="108"/>
      <c r="AG161" s="108"/>
      <c r="AH161" s="108"/>
      <c r="AI161" s="108"/>
      <c r="AJ161" s="108"/>
      <c r="AK161" s="108"/>
      <c r="AL161" s="108"/>
      <c r="AM161" s="108"/>
      <c r="AN161" s="108"/>
      <c r="AO161" s="108"/>
      <c r="AP161" s="108"/>
      <c r="AQ161" s="108"/>
      <c r="AR161" s="108"/>
      <c r="AS161" s="108"/>
      <c r="AT161" s="148"/>
    </row>
    <row r="162" spans="1:46" s="80" customFormat="1">
      <c r="A162" s="129"/>
      <c r="B162" s="108"/>
      <c r="C162" s="108"/>
      <c r="D162" s="108"/>
      <c r="E162" s="108"/>
      <c r="F162" s="108"/>
      <c r="G162" s="108"/>
      <c r="H162" s="108"/>
      <c r="I162" s="108"/>
      <c r="J162" s="108"/>
      <c r="K162" s="108"/>
      <c r="L162" s="108"/>
      <c r="M162" s="108"/>
      <c r="N162" s="108"/>
      <c r="O162" s="108"/>
      <c r="P162" s="108"/>
      <c r="Q162" s="108"/>
      <c r="R162" s="108"/>
      <c r="S162" s="108"/>
      <c r="T162" s="108"/>
      <c r="U162" s="108"/>
      <c r="V162" s="108"/>
      <c r="W162" s="108"/>
      <c r="X162" s="108"/>
      <c r="Y162" s="108"/>
      <c r="Z162" s="108"/>
      <c r="AA162" s="108"/>
      <c r="AB162" s="108"/>
      <c r="AC162" s="108"/>
      <c r="AD162" s="108"/>
      <c r="AE162" s="108"/>
      <c r="AF162" s="108"/>
      <c r="AG162" s="108"/>
      <c r="AH162" s="108"/>
      <c r="AI162" s="108"/>
      <c r="AJ162" s="108"/>
      <c r="AK162" s="108"/>
      <c r="AL162" s="108"/>
      <c r="AM162" s="108"/>
      <c r="AN162" s="108"/>
      <c r="AO162" s="108"/>
      <c r="AP162" s="108"/>
      <c r="AQ162" s="108"/>
      <c r="AR162" s="108"/>
      <c r="AS162" s="108"/>
      <c r="AT162" s="148"/>
    </row>
    <row r="163" spans="1:46" s="80" customFormat="1">
      <c r="A163" s="129"/>
      <c r="B163" s="108"/>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c r="AL163" s="108"/>
      <c r="AM163" s="108"/>
      <c r="AN163" s="108"/>
      <c r="AO163" s="108"/>
      <c r="AP163" s="108"/>
      <c r="AQ163" s="108"/>
      <c r="AR163" s="108"/>
      <c r="AS163" s="108"/>
      <c r="AT163" s="148"/>
    </row>
    <row r="164" spans="1:46" s="89" customFormat="1">
      <c r="A164" s="128"/>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221"/>
    </row>
    <row r="165" spans="1:46" s="80" customFormat="1">
      <c r="A165" s="129"/>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8"/>
      <c r="AJ165" s="108"/>
      <c r="AK165" s="108"/>
      <c r="AL165" s="108"/>
      <c r="AM165" s="108"/>
      <c r="AN165" s="108"/>
      <c r="AO165" s="108"/>
      <c r="AP165" s="108"/>
      <c r="AQ165" s="108"/>
      <c r="AR165" s="108"/>
      <c r="AS165" s="108"/>
      <c r="AT165" s="148"/>
    </row>
    <row r="166" spans="1:46" s="102" customFormat="1">
      <c r="A166" s="129"/>
      <c r="B166" s="108"/>
      <c r="C166" s="108"/>
      <c r="D166" s="108"/>
      <c r="E166" s="108"/>
      <c r="AT166" s="221"/>
    </row>
    <row r="167" spans="1:46" s="80" customFormat="1">
      <c r="A167" s="129"/>
      <c r="B167" s="108"/>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8"/>
      <c r="AJ167" s="108"/>
      <c r="AK167" s="108"/>
      <c r="AL167" s="108"/>
      <c r="AM167" s="108"/>
      <c r="AN167" s="108"/>
      <c r="AO167" s="108"/>
      <c r="AP167" s="108"/>
      <c r="AQ167" s="108"/>
      <c r="AR167" s="108"/>
      <c r="AS167" s="108"/>
      <c r="AT167" s="148"/>
    </row>
    <row r="168" spans="1:46" s="80" customFormat="1">
      <c r="A168" s="129"/>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c r="AL168" s="108"/>
      <c r="AM168" s="108"/>
      <c r="AN168" s="108"/>
      <c r="AO168" s="108"/>
      <c r="AP168" s="108"/>
      <c r="AQ168" s="108"/>
      <c r="AR168" s="108"/>
      <c r="AS168" s="108"/>
      <c r="AT168" s="148"/>
    </row>
    <row r="169" spans="1:46" s="80" customFormat="1">
      <c r="A169" s="129"/>
      <c r="B169" s="108"/>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108"/>
      <c r="AC169" s="108"/>
      <c r="AD169" s="108"/>
      <c r="AE169" s="108"/>
      <c r="AF169" s="108"/>
      <c r="AG169" s="108"/>
      <c r="AH169" s="108"/>
      <c r="AI169" s="108"/>
      <c r="AJ169" s="108"/>
      <c r="AK169" s="108"/>
      <c r="AL169" s="108"/>
      <c r="AM169" s="108"/>
      <c r="AN169" s="108"/>
      <c r="AO169" s="108"/>
      <c r="AP169" s="108"/>
      <c r="AQ169" s="108"/>
      <c r="AR169" s="108"/>
      <c r="AS169" s="108"/>
      <c r="AT169" s="148"/>
    </row>
    <row r="170" spans="1:46" s="80" customFormat="1">
      <c r="A170" s="129"/>
      <c r="B170" s="108"/>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108"/>
      <c r="AC170" s="108"/>
      <c r="AD170" s="108"/>
      <c r="AE170" s="108"/>
      <c r="AF170" s="108"/>
      <c r="AG170" s="108"/>
      <c r="AH170" s="108"/>
      <c r="AI170" s="108"/>
      <c r="AJ170" s="108"/>
      <c r="AK170" s="108"/>
      <c r="AL170" s="108"/>
      <c r="AM170" s="108"/>
      <c r="AN170" s="108"/>
      <c r="AO170" s="108"/>
      <c r="AP170" s="108"/>
      <c r="AQ170" s="108"/>
      <c r="AR170" s="108"/>
      <c r="AS170" s="108"/>
      <c r="AT170" s="148"/>
    </row>
    <row r="171" spans="1:46" s="80" customFormat="1">
      <c r="A171" s="129"/>
      <c r="B171" s="108"/>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8"/>
      <c r="AJ171" s="108"/>
      <c r="AK171" s="108"/>
      <c r="AL171" s="108"/>
      <c r="AM171" s="108"/>
      <c r="AN171" s="108"/>
      <c r="AO171" s="108"/>
      <c r="AP171" s="108"/>
      <c r="AQ171" s="108"/>
      <c r="AR171" s="108"/>
      <c r="AS171" s="108"/>
      <c r="AT171" s="148"/>
    </row>
    <row r="172" spans="1:46" s="80" customFormat="1">
      <c r="A172" s="129"/>
      <c r="B172" s="108"/>
      <c r="C172" s="108"/>
      <c r="D172" s="108"/>
      <c r="E172" s="108"/>
      <c r="F172" s="108"/>
      <c r="G172" s="108"/>
      <c r="H172" s="108"/>
      <c r="I172" s="108"/>
      <c r="J172" s="108"/>
      <c r="K172" s="108"/>
      <c r="L172" s="108"/>
      <c r="M172" s="108"/>
      <c r="N172" s="108"/>
      <c r="O172" s="108"/>
      <c r="P172" s="108"/>
      <c r="Q172" s="108"/>
      <c r="R172" s="108"/>
      <c r="S172" s="108"/>
      <c r="T172" s="108"/>
      <c r="U172" s="108"/>
      <c r="V172" s="108"/>
      <c r="W172" s="108"/>
      <c r="X172" s="108"/>
      <c r="Y172" s="108"/>
      <c r="Z172" s="108"/>
      <c r="AA172" s="108"/>
      <c r="AB172" s="108"/>
      <c r="AC172" s="108"/>
      <c r="AD172" s="108"/>
      <c r="AE172" s="108"/>
      <c r="AF172" s="108"/>
      <c r="AG172" s="108"/>
      <c r="AH172" s="108"/>
      <c r="AI172" s="108"/>
      <c r="AJ172" s="108"/>
      <c r="AK172" s="108"/>
      <c r="AL172" s="108"/>
      <c r="AM172" s="108"/>
      <c r="AN172" s="108"/>
      <c r="AO172" s="108"/>
      <c r="AP172" s="108"/>
      <c r="AQ172" s="108"/>
      <c r="AR172" s="108"/>
      <c r="AS172" s="108"/>
      <c r="AT172" s="148"/>
    </row>
    <row r="173" spans="1:46" s="89" customFormat="1">
      <c r="A173" s="129"/>
      <c r="B173" s="108"/>
      <c r="C173" s="108"/>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221"/>
    </row>
    <row r="174" spans="1:46" s="89" customFormat="1">
      <c r="A174" s="128"/>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221"/>
    </row>
    <row r="175" spans="1:46" s="80" customFormat="1">
      <c r="A175" s="129"/>
      <c r="B175" s="108"/>
      <c r="C175" s="108"/>
      <c r="D175" s="108"/>
      <c r="E175" s="108"/>
      <c r="F175" s="108"/>
      <c r="G175" s="108"/>
      <c r="H175" s="108"/>
      <c r="I175" s="108"/>
      <c r="J175" s="108"/>
      <c r="K175" s="108"/>
      <c r="L175" s="108"/>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8"/>
      <c r="AJ175" s="108"/>
      <c r="AK175" s="108"/>
      <c r="AL175" s="108"/>
      <c r="AM175" s="108"/>
      <c r="AN175" s="108"/>
      <c r="AO175" s="108"/>
      <c r="AP175" s="108"/>
      <c r="AQ175" s="108"/>
      <c r="AR175" s="108"/>
      <c r="AS175" s="108"/>
      <c r="AT175" s="148"/>
    </row>
    <row r="176" spans="1:46" s="80" customFormat="1">
      <c r="A176" s="129"/>
      <c r="B176" s="108"/>
      <c r="C176" s="108"/>
      <c r="D176" s="108"/>
      <c r="E176" s="108"/>
      <c r="F176" s="108"/>
      <c r="G176" s="108"/>
      <c r="H176" s="108"/>
      <c r="I176" s="108"/>
      <c r="J176" s="108"/>
      <c r="K176" s="108"/>
      <c r="L176" s="108"/>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8"/>
      <c r="AJ176" s="108"/>
      <c r="AK176" s="108"/>
      <c r="AL176" s="108"/>
      <c r="AM176" s="108"/>
      <c r="AN176" s="108"/>
      <c r="AO176" s="108"/>
      <c r="AP176" s="108"/>
      <c r="AQ176" s="108"/>
      <c r="AR176" s="108"/>
      <c r="AS176" s="108"/>
      <c r="AT176" s="148"/>
    </row>
    <row r="177" spans="1:46" s="80" customFormat="1">
      <c r="A177" s="129"/>
      <c r="B177" s="108"/>
      <c r="C177" s="108"/>
      <c r="D177" s="108"/>
      <c r="E177" s="108"/>
      <c r="F177" s="108"/>
      <c r="G177" s="108"/>
      <c r="H177" s="108"/>
      <c r="I177" s="108"/>
      <c r="J177" s="108"/>
      <c r="K177" s="108"/>
      <c r="L177" s="108"/>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8"/>
      <c r="AJ177" s="108"/>
      <c r="AK177" s="108"/>
      <c r="AL177" s="108"/>
      <c r="AM177" s="108"/>
      <c r="AN177" s="108"/>
      <c r="AO177" s="108"/>
      <c r="AP177" s="108"/>
      <c r="AQ177" s="108"/>
      <c r="AR177" s="108"/>
      <c r="AS177" s="108"/>
      <c r="AT177" s="148"/>
    </row>
    <row r="178" spans="1:46" s="80" customFormat="1">
      <c r="A178" s="129"/>
      <c r="B178" s="108"/>
      <c r="C178" s="108"/>
      <c r="D178" s="108"/>
      <c r="E178" s="108"/>
      <c r="F178" s="108"/>
      <c r="G178" s="108"/>
      <c r="H178" s="108"/>
      <c r="I178" s="108"/>
      <c r="J178" s="108"/>
      <c r="K178" s="108"/>
      <c r="L178" s="108"/>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c r="AH178" s="108"/>
      <c r="AI178" s="108"/>
      <c r="AJ178" s="108"/>
      <c r="AK178" s="108"/>
      <c r="AL178" s="108"/>
      <c r="AM178" s="108"/>
      <c r="AN178" s="108"/>
      <c r="AO178" s="108"/>
      <c r="AP178" s="108"/>
      <c r="AQ178" s="108"/>
      <c r="AR178" s="108"/>
      <c r="AS178" s="108"/>
      <c r="AT178" s="148"/>
    </row>
    <row r="179" spans="1:46" s="80" customFormat="1">
      <c r="A179" s="129"/>
      <c r="B179" s="108"/>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08"/>
      <c r="AL179" s="108"/>
      <c r="AM179" s="108"/>
      <c r="AN179" s="108"/>
      <c r="AO179" s="108"/>
      <c r="AP179" s="108"/>
      <c r="AQ179" s="108"/>
      <c r="AR179" s="108"/>
      <c r="AS179" s="108"/>
      <c r="AT179" s="148"/>
    </row>
    <row r="180" spans="1:46" s="80" customFormat="1">
      <c r="A180" s="129"/>
      <c r="B180" s="108"/>
      <c r="C180" s="108"/>
      <c r="D180" s="108"/>
      <c r="E180" s="108"/>
      <c r="F180" s="108"/>
      <c r="G180" s="108"/>
      <c r="H180" s="108"/>
      <c r="I180" s="108"/>
      <c r="J180" s="108"/>
      <c r="K180" s="108"/>
      <c r="L180" s="108"/>
      <c r="M180" s="108"/>
      <c r="N180" s="108"/>
      <c r="O180" s="108"/>
      <c r="P180" s="108"/>
      <c r="Q180" s="108"/>
      <c r="R180" s="108"/>
      <c r="S180" s="108"/>
      <c r="T180" s="108"/>
      <c r="U180" s="108"/>
      <c r="V180" s="108"/>
      <c r="W180" s="108"/>
      <c r="X180" s="108"/>
      <c r="Y180" s="108"/>
      <c r="Z180" s="108"/>
      <c r="AA180" s="108"/>
      <c r="AB180" s="108"/>
      <c r="AC180" s="108"/>
      <c r="AD180" s="108"/>
      <c r="AE180" s="108"/>
      <c r="AF180" s="108"/>
      <c r="AG180" s="108"/>
      <c r="AH180" s="108"/>
      <c r="AI180" s="108"/>
      <c r="AJ180" s="108"/>
      <c r="AK180" s="108"/>
      <c r="AL180" s="108"/>
      <c r="AM180" s="108"/>
      <c r="AN180" s="108"/>
      <c r="AO180" s="108"/>
      <c r="AP180" s="108"/>
      <c r="AQ180" s="108"/>
      <c r="AR180" s="108"/>
      <c r="AS180" s="108"/>
      <c r="AT180" s="148"/>
    </row>
    <row r="181" spans="1:46" s="89" customFormat="1">
      <c r="A181" s="129"/>
      <c r="B181" s="108"/>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221"/>
    </row>
    <row r="182" spans="1:46" s="269" customFormat="1" ht="15">
      <c r="A182" s="928"/>
      <c r="B182" s="929"/>
      <c r="C182" s="929"/>
      <c r="D182" s="929"/>
      <c r="E182" s="929"/>
      <c r="F182" s="929"/>
      <c r="G182" s="929"/>
      <c r="H182" s="929"/>
      <c r="I182" s="929"/>
      <c r="J182" s="929"/>
      <c r="K182" s="930"/>
      <c r="L182" s="929"/>
      <c r="M182" s="929"/>
      <c r="N182" s="929"/>
      <c r="O182" s="929"/>
      <c r="P182" s="929"/>
      <c r="Q182" s="929"/>
      <c r="R182" s="929"/>
      <c r="S182" s="929"/>
      <c r="T182" s="931"/>
      <c r="U182" s="931"/>
      <c r="V182" s="931"/>
      <c r="W182" s="931"/>
      <c r="X182" s="931"/>
      <c r="Y182" s="931"/>
      <c r="Z182" s="931"/>
      <c r="AA182" s="931"/>
      <c r="AB182" s="931"/>
      <c r="AC182" s="931"/>
      <c r="AD182" s="931"/>
      <c r="AE182" s="931"/>
      <c r="AF182" s="931"/>
      <c r="AG182" s="931"/>
      <c r="AH182" s="931"/>
      <c r="AI182" s="931"/>
      <c r="AJ182" s="931"/>
      <c r="AK182" s="931"/>
      <c r="AL182" s="931"/>
      <c r="AM182" s="931"/>
      <c r="AN182" s="931"/>
      <c r="AO182" s="931"/>
      <c r="AP182" s="931"/>
      <c r="AQ182" s="931"/>
      <c r="AR182" s="931"/>
      <c r="AS182" s="931"/>
      <c r="AT182" s="932"/>
    </row>
    <row r="183" spans="1:46">
      <c r="A183" s="35"/>
      <c r="B183" s="22"/>
      <c r="C183" s="22"/>
      <c r="D183" s="22"/>
      <c r="E183" s="22"/>
      <c r="F183" s="22"/>
      <c r="G183" s="22"/>
      <c r="H183" s="22"/>
      <c r="I183" s="22"/>
      <c r="J183" s="22"/>
      <c r="K183" s="76"/>
      <c r="L183" s="22"/>
      <c r="M183" s="22"/>
      <c r="N183" s="22"/>
      <c r="O183" s="22"/>
      <c r="P183" s="22"/>
      <c r="Q183" s="22"/>
      <c r="R183" s="22"/>
      <c r="S183" s="22"/>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927"/>
    </row>
    <row r="184" spans="1:46">
      <c r="A184" s="35"/>
      <c r="B184" s="22"/>
      <c r="C184" s="22"/>
      <c r="D184" s="22"/>
      <c r="E184" s="22"/>
      <c r="F184" s="22"/>
      <c r="G184" s="22"/>
      <c r="H184" s="22"/>
      <c r="I184" s="22"/>
      <c r="J184" s="22"/>
      <c r="K184" s="76"/>
      <c r="L184" s="22"/>
      <c r="M184" s="22"/>
      <c r="N184" s="22"/>
      <c r="O184" s="22"/>
      <c r="P184" s="22"/>
      <c r="Q184" s="22"/>
      <c r="R184" s="22"/>
      <c r="S184" s="22"/>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927"/>
    </row>
    <row r="185" spans="1:46">
      <c r="A185" s="35"/>
      <c r="B185" s="22"/>
      <c r="C185" s="22"/>
      <c r="D185" s="22"/>
      <c r="E185" s="22"/>
      <c r="F185" s="22"/>
      <c r="G185" s="22"/>
      <c r="H185" s="22"/>
      <c r="I185" s="22"/>
      <c r="J185" s="22"/>
      <c r="K185" s="76"/>
      <c r="L185" s="22"/>
      <c r="M185" s="22"/>
      <c r="N185" s="22"/>
      <c r="O185" s="22"/>
      <c r="P185" s="22"/>
      <c r="Q185" s="22"/>
      <c r="R185" s="22"/>
      <c r="S185" s="22"/>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927"/>
    </row>
    <row r="186" spans="1:46">
      <c r="A186" s="35"/>
      <c r="B186" s="22"/>
      <c r="C186" s="22"/>
      <c r="D186" s="22"/>
      <c r="E186" s="22"/>
      <c r="F186" s="22"/>
      <c r="G186" s="22"/>
      <c r="H186" s="22"/>
      <c r="I186" s="22"/>
      <c r="J186" s="22"/>
      <c r="K186" s="76"/>
      <c r="L186" s="22"/>
      <c r="M186" s="22"/>
      <c r="N186" s="22"/>
      <c r="O186" s="22"/>
      <c r="P186" s="22"/>
      <c r="Q186" s="22"/>
      <c r="R186" s="22"/>
      <c r="S186" s="22"/>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927"/>
    </row>
    <row r="187" spans="1:46">
      <c r="A187" s="35"/>
      <c r="B187" s="22"/>
      <c r="C187" s="36"/>
      <c r="D187" s="36"/>
      <c r="E187" s="36"/>
      <c r="F187" s="36"/>
      <c r="G187" s="36"/>
      <c r="H187" s="36"/>
      <c r="I187" s="36"/>
      <c r="J187" s="36"/>
      <c r="K187" s="72"/>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927"/>
    </row>
    <row r="188" spans="1:46">
      <c r="A188" s="35"/>
      <c r="B188" s="22"/>
      <c r="C188" s="22"/>
      <c r="D188" s="22"/>
      <c r="E188" s="22"/>
      <c r="F188" s="22"/>
      <c r="G188" s="22"/>
      <c r="H188" s="22"/>
      <c r="I188" s="22"/>
      <c r="J188" s="22"/>
      <c r="K188" s="76"/>
      <c r="L188" s="22"/>
      <c r="M188" s="22"/>
      <c r="N188" s="22"/>
      <c r="O188" s="22"/>
      <c r="P188" s="22"/>
      <c r="Q188" s="22"/>
      <c r="R188" s="22"/>
      <c r="S188" s="22"/>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927"/>
    </row>
    <row r="189" spans="1:46">
      <c r="A189" s="35"/>
      <c r="B189" s="22"/>
      <c r="C189" s="22"/>
      <c r="D189" s="22"/>
      <c r="E189" s="22"/>
      <c r="F189" s="22"/>
      <c r="G189" s="22"/>
      <c r="H189" s="22"/>
      <c r="I189" s="22"/>
      <c r="J189" s="22"/>
      <c r="K189" s="76"/>
      <c r="L189" s="22"/>
      <c r="M189" s="22"/>
      <c r="N189" s="22"/>
      <c r="O189" s="22"/>
      <c r="P189" s="22"/>
      <c r="Q189" s="22"/>
      <c r="R189" s="22"/>
      <c r="S189" s="22"/>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927"/>
    </row>
    <row r="190" spans="1:46">
      <c r="A190" s="35"/>
      <c r="B190" s="22"/>
      <c r="C190" s="22"/>
      <c r="D190" s="22"/>
      <c r="E190" s="22"/>
      <c r="F190" s="22"/>
      <c r="G190" s="22"/>
      <c r="H190" s="22"/>
      <c r="I190" s="22"/>
      <c r="J190" s="22"/>
      <c r="K190" s="76"/>
      <c r="L190" s="22"/>
      <c r="M190" s="22"/>
      <c r="N190" s="22"/>
      <c r="O190" s="22"/>
      <c r="P190" s="22"/>
      <c r="Q190" s="22"/>
      <c r="R190" s="22"/>
      <c r="S190" s="22"/>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927"/>
    </row>
    <row r="191" spans="1:46">
      <c r="A191" s="35"/>
      <c r="B191" s="22"/>
      <c r="C191" s="22"/>
      <c r="D191" s="22"/>
      <c r="E191" s="22"/>
      <c r="F191" s="22"/>
      <c r="G191" s="22"/>
      <c r="H191" s="22"/>
      <c r="I191" s="22"/>
      <c r="J191" s="22"/>
      <c r="K191" s="76"/>
      <c r="L191" s="22"/>
      <c r="M191" s="22"/>
      <c r="N191" s="22"/>
      <c r="O191" s="22"/>
      <c r="P191" s="22"/>
      <c r="Q191" s="22"/>
      <c r="R191" s="22"/>
      <c r="S191" s="22"/>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927"/>
    </row>
    <row r="192" spans="1:46">
      <c r="A192" s="35"/>
      <c r="B192" s="22"/>
      <c r="C192" s="22"/>
      <c r="D192" s="22"/>
      <c r="E192" s="22"/>
      <c r="F192" s="22"/>
      <c r="G192" s="22"/>
      <c r="H192" s="22"/>
      <c r="I192" s="22"/>
      <c r="J192" s="22"/>
      <c r="K192" s="76"/>
      <c r="L192" s="22"/>
      <c r="M192" s="22"/>
      <c r="N192" s="22"/>
      <c r="O192" s="22"/>
      <c r="P192" s="22"/>
      <c r="Q192" s="22"/>
      <c r="R192" s="22"/>
      <c r="S192" s="22"/>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927"/>
    </row>
    <row r="193" spans="1:46" s="36" customFormat="1">
      <c r="A193" s="35"/>
      <c r="B193" s="22"/>
      <c r="K193" s="72"/>
      <c r="AT193" s="927"/>
    </row>
    <row r="194" spans="1:46">
      <c r="A194" s="35"/>
      <c r="B194" s="22"/>
      <c r="C194" s="22"/>
      <c r="D194" s="22"/>
      <c r="E194" s="22"/>
      <c r="F194" s="22"/>
      <c r="G194" s="22"/>
      <c r="H194" s="22"/>
      <c r="I194" s="22"/>
      <c r="J194" s="22"/>
      <c r="K194" s="76"/>
      <c r="L194" s="22"/>
      <c r="M194" s="22"/>
      <c r="N194" s="22"/>
      <c r="O194" s="22"/>
      <c r="P194" s="22"/>
      <c r="Q194" s="22"/>
      <c r="R194" s="22"/>
      <c r="S194" s="22"/>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927"/>
    </row>
    <row r="195" spans="1:46">
      <c r="A195" s="35"/>
      <c r="B195" s="22"/>
      <c r="C195" s="22"/>
      <c r="D195" s="22"/>
      <c r="E195" s="22"/>
      <c r="F195" s="22"/>
      <c r="G195" s="22"/>
      <c r="H195" s="22"/>
      <c r="I195" s="22"/>
      <c r="J195" s="22"/>
      <c r="K195" s="76"/>
      <c r="L195" s="22"/>
      <c r="M195" s="22"/>
      <c r="N195" s="22"/>
      <c r="O195" s="22"/>
      <c r="P195" s="22"/>
      <c r="Q195" s="22"/>
      <c r="R195" s="22"/>
      <c r="S195" s="22"/>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927"/>
    </row>
    <row r="196" spans="1:46">
      <c r="A196" s="35"/>
      <c r="B196" s="22"/>
      <c r="C196" s="22"/>
      <c r="D196" s="22"/>
      <c r="E196" s="22"/>
      <c r="F196" s="22"/>
      <c r="G196" s="22"/>
      <c r="H196" s="22"/>
      <c r="I196" s="22"/>
      <c r="J196" s="22"/>
      <c r="K196" s="76"/>
      <c r="L196" s="22"/>
      <c r="M196" s="22"/>
      <c r="N196" s="22"/>
      <c r="O196" s="22"/>
      <c r="P196" s="22"/>
      <c r="Q196" s="22"/>
      <c r="R196" s="22"/>
      <c r="S196" s="22"/>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927"/>
    </row>
    <row r="197" spans="1:46">
      <c r="A197" s="933"/>
      <c r="B197" s="934"/>
      <c r="C197" s="934"/>
      <c r="D197" s="934"/>
      <c r="E197" s="934"/>
      <c r="F197" s="934"/>
      <c r="G197" s="934"/>
      <c r="H197" s="934"/>
      <c r="I197" s="934"/>
      <c r="J197" s="934"/>
      <c r="K197" s="483"/>
      <c r="L197" s="934"/>
      <c r="M197" s="934"/>
      <c r="N197" s="934"/>
      <c r="O197" s="934"/>
      <c r="P197" s="934"/>
      <c r="Q197" s="934"/>
      <c r="R197" s="934"/>
      <c r="S197" s="934"/>
      <c r="T197" s="935"/>
      <c r="U197" s="935"/>
      <c r="V197" s="935"/>
      <c r="W197" s="935"/>
      <c r="X197" s="935"/>
      <c r="Y197" s="935"/>
      <c r="Z197" s="935"/>
      <c r="AA197" s="935"/>
      <c r="AB197" s="935"/>
      <c r="AC197" s="935"/>
      <c r="AD197" s="935"/>
      <c r="AE197" s="935"/>
      <c r="AF197" s="935"/>
      <c r="AG197" s="935"/>
      <c r="AH197" s="935"/>
      <c r="AI197" s="935"/>
      <c r="AJ197" s="935"/>
      <c r="AK197" s="935"/>
      <c r="AL197" s="935"/>
      <c r="AM197" s="935"/>
      <c r="AN197" s="935"/>
      <c r="AO197" s="935"/>
      <c r="AP197" s="935"/>
      <c r="AQ197" s="935"/>
      <c r="AR197" s="935"/>
      <c r="AS197" s="935"/>
      <c r="AT197" s="936"/>
    </row>
  </sheetData>
  <mergeCells count="1">
    <mergeCell ref="N1:O1"/>
  </mergeCells>
  <pageMargins left="0.75" right="0.75" top="1" bottom="1" header="0.5" footer="0.5"/>
  <pageSetup paperSize="9" scale="34" orientation="landscape" r:id="rId1"/>
  <headerFooter alignWithMargins="0">
    <oddFooter>&amp;LEnergiekamer NMa&amp;R&amp;F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C2AAC825243F4CA56F83359BB336B4" ma:contentTypeVersion="0" ma:contentTypeDescription="Een nieuw document maken." ma:contentTypeScope="" ma:versionID="94e698943ac2a68260ba0c19b9dbf8a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ABA6FB-8C2E-4845-87C6-26AB3C4F80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30B7346-C18A-4297-90E2-178828A42F1D}">
  <ds:schemaRefs>
    <ds:schemaRef ds:uri="http://schemas.microsoft.com/sharepoint/v3/contenttype/forms"/>
  </ds:schemaRefs>
</ds:datastoreItem>
</file>

<file path=customXml/itemProps3.xml><?xml version="1.0" encoding="utf-8"?>
<ds:datastoreItem xmlns:ds="http://schemas.openxmlformats.org/officeDocument/2006/customXml" ds:itemID="{5067255E-A27D-4BC7-B4D0-3B7DFBF5C0DD}">
  <ds:schemaRefs>
    <ds:schemaRef ds:uri="http://schemas.microsoft.com/office/infopath/2007/PartnerControls"/>
    <ds:schemaRef ds:uri="http://purl.org/dc/terms/"/>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20</vt:i4>
      </vt:variant>
      <vt:variant>
        <vt:lpstr>Benoemde bereiken</vt:lpstr>
      </vt:variant>
      <vt:variant>
        <vt:i4>13</vt:i4>
      </vt:variant>
    </vt:vector>
  </HeadingPairs>
  <TitlesOfParts>
    <vt:vector size="33" baseType="lpstr">
      <vt:lpstr>Voorblad</vt:lpstr>
      <vt:lpstr>Parameters</vt:lpstr>
      <vt:lpstr>TAR_Tab 2_Volumina</vt:lpstr>
      <vt:lpstr>TAR_Tab_3_Tariefaanpassing</vt:lpstr>
      <vt:lpstr>TARIEFCORRECTIES --&gt;</vt:lpstr>
      <vt:lpstr>TAR_Tab_4_Cor. verdeelsleutel</vt:lpstr>
      <vt:lpstr>TAR_Tab 5_UI</vt:lpstr>
      <vt:lpstr>TAR_Tab 6_NPD</vt:lpstr>
      <vt:lpstr>TAR_Tab 7_MFA </vt:lpstr>
      <vt:lpstr>TAR-Tab_8_Nacalculaties 14-16</vt:lpstr>
      <vt:lpstr>TAR_Tab 9_incidenteel AT</vt:lpstr>
      <vt:lpstr>TAR-Tab 10_incidenteel</vt:lpstr>
      <vt:lpstr>TARIEFBEREKENING --&gt;</vt:lpstr>
      <vt:lpstr>TAR_Tab 11_Entrytarieven</vt:lpstr>
      <vt:lpstr>TAR_Tab 12_Exittarieven</vt:lpstr>
      <vt:lpstr>TAR_Tab 13_Connectiontarieven</vt:lpstr>
      <vt:lpstr>TAR_Tab 14_Overige tarieven</vt:lpstr>
      <vt:lpstr>TAR_Tab_15_AT-tarieven</vt:lpstr>
      <vt:lpstr>CONTROLE TOEGESTANE INKOMSTEN-&gt;</vt:lpstr>
      <vt:lpstr>TAR_Tab 16_Controle</vt:lpstr>
      <vt:lpstr>Parameters!Afdrukbereik</vt:lpstr>
      <vt:lpstr>'TAR_Tab 11_Entrytarieven'!Afdrukbereik</vt:lpstr>
      <vt:lpstr>'TAR_Tab 12_Exittarieven'!Afdrukbereik</vt:lpstr>
      <vt:lpstr>'TAR_Tab 13_Connectiontarieven'!Afdrukbereik</vt:lpstr>
      <vt:lpstr>'TAR_Tab 14_Overige tarieven'!Afdrukbereik</vt:lpstr>
      <vt:lpstr>'TAR_Tab 16_Controle'!Afdrukbereik</vt:lpstr>
      <vt:lpstr>'TAR_Tab 2_Volumina'!Afdrukbereik</vt:lpstr>
      <vt:lpstr>'TAR_Tab 5_UI'!Afdrukbereik</vt:lpstr>
      <vt:lpstr>'TAR_Tab 6_NPD'!Afdrukbereik</vt:lpstr>
      <vt:lpstr>'TAR_Tab 7_MFA '!Afdrukbereik</vt:lpstr>
      <vt:lpstr>'TAR_Tab 9_incidenteel AT'!Afdrukbereik</vt:lpstr>
      <vt:lpstr>TAR_Tab_3_Tariefaanpassing!Afdrukbereik</vt:lpstr>
      <vt:lpstr>'TAR-Tab 10_incidenteel'!Afdrukbereik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Tarievenmodule GTS 2016</dc:title>
  <dc:creator>Autoriteit Consument &amp; Markt (ACM)</dc:creator>
  <cp:keywords>energie</cp:keywords>
  <cp:lastModifiedBy>Pallas, Nathalie</cp:lastModifiedBy>
  <cp:lastPrinted>2015-09-25T13:08:31Z</cp:lastPrinted>
  <dcterms:created xsi:type="dcterms:W3CDTF">1996-11-27T13:48:17Z</dcterms:created>
  <dcterms:modified xsi:type="dcterms:W3CDTF">2015-12-18T08:17:04Z</dcterms:modified>
  <cp:category>tarieven, gas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0x0101002AC2AAC825243F4CA56F83359BB336B4</vt:lpwstr>
  </property>
  <property fmtid="{D5CDD505-2E9C-101B-9397-08002B2CF9AE}" pid="3" name="Order">
    <vt:r8>400</vt:r8>
  </property>
</Properties>
</file>